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TERCAMBIO\VE260004 SUMINISTRO ELEC&amp;GAS\PCC\20260422.Cambio CEX\ANEXOS PLIEGO\"/>
    </mc:Choice>
  </mc:AlternateContent>
  <xr:revisionPtr revIDLastSave="0" documentId="13_ncr:1_{62346790-3365-49B7-828E-896E2CA4CE24}" xr6:coauthVersionLast="47" xr6:coauthVersionMax="47" xr10:uidLastSave="{00000000-0000-0000-0000-000000000000}"/>
  <workbookProtection workbookAlgorithmName="SHA-512" workbookHashValue="Wo7MH0sl5qXWuAwhJHMNSO++JN7npYM+J2R4uaVDnUlJz+SZ48ktkeUoTKdZxSCEEmTJME9AqYpFq/PLD3qxIg==" workbookSaltValue="/YWJ7zG5WKr7aRoAogcbzg==" workbookSpinCount="100000" lockStructure="1"/>
  <bookViews>
    <workbookView xWindow="-28920" yWindow="-120" windowWidth="29040" windowHeight="15720" xr2:uid="{00000000-000D-0000-FFFF-FFFF00000000}"/>
  </bookViews>
  <sheets>
    <sheet name="RESUMEN OFERTA" sheetId="5" r:id="rId1"/>
    <sheet name="LOTE 1. Electricidad" sheetId="4" r:id="rId2"/>
    <sheet name="LOTE 2 Gas" sheetId="8" r:id="rId3"/>
    <sheet name="Datos CONSUMO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4" i="4" l="1"/>
  <c r="E24" i="4"/>
  <c r="F24" i="4"/>
  <c r="G24" i="4"/>
  <c r="H24" i="4"/>
  <c r="D25" i="4"/>
  <c r="E25" i="4"/>
  <c r="F25" i="4"/>
  <c r="G25" i="4"/>
  <c r="H25" i="4"/>
  <c r="D26" i="4"/>
  <c r="E26" i="4"/>
  <c r="F26" i="4"/>
  <c r="G26" i="4"/>
  <c r="H26" i="4"/>
  <c r="C24" i="4"/>
  <c r="C25" i="4"/>
  <c r="C26" i="4"/>
  <c r="D23" i="4"/>
  <c r="E23" i="4"/>
  <c r="C23" i="4"/>
  <c r="I7" i="3" l="1"/>
  <c r="M28" i="3" l="1"/>
  <c r="N28" i="3"/>
  <c r="O28" i="3"/>
  <c r="P28" i="3"/>
  <c r="Q28" i="3"/>
  <c r="M29" i="3"/>
  <c r="N29" i="3"/>
  <c r="O29" i="3"/>
  <c r="P29" i="3"/>
  <c r="Q29" i="3"/>
  <c r="M30" i="3"/>
  <c r="N30" i="3"/>
  <c r="O30" i="3"/>
  <c r="P30" i="3"/>
  <c r="Q30" i="3"/>
  <c r="L29" i="3"/>
  <c r="L30" i="3"/>
  <c r="L28" i="3"/>
  <c r="D30" i="3"/>
  <c r="E30" i="3"/>
  <c r="F30" i="3"/>
  <c r="G30" i="3"/>
  <c r="H30" i="3"/>
  <c r="C30" i="3"/>
  <c r="D29" i="3"/>
  <c r="E29" i="3"/>
  <c r="F29" i="3"/>
  <c r="G29" i="3"/>
  <c r="H29" i="3"/>
  <c r="C29" i="3"/>
  <c r="D28" i="3"/>
  <c r="E28" i="3"/>
  <c r="C28" i="3"/>
  <c r="L31" i="3" l="1"/>
  <c r="M31" i="3"/>
  <c r="N31" i="3"/>
  <c r="O31" i="3"/>
  <c r="P31" i="3"/>
  <c r="Q31" i="3"/>
  <c r="C31" i="3"/>
  <c r="D31" i="3"/>
  <c r="E31" i="3"/>
  <c r="F31" i="3"/>
  <c r="G31" i="3"/>
  <c r="H31" i="3"/>
  <c r="F28" i="3"/>
  <c r="G28" i="3"/>
  <c r="H28" i="3"/>
  <c r="H18" i="3"/>
  <c r="G18" i="3"/>
  <c r="F18" i="3"/>
  <c r="E18" i="3"/>
  <c r="D18" i="3"/>
  <c r="C18" i="3"/>
  <c r="I17" i="3"/>
  <c r="I16" i="3"/>
  <c r="I15" i="3"/>
  <c r="I14" i="3"/>
  <c r="C32" i="3" l="1"/>
  <c r="D32" i="3"/>
  <c r="I29" i="3"/>
  <c r="I31" i="3"/>
  <c r="I28" i="3"/>
  <c r="G32" i="3"/>
  <c r="I30" i="3"/>
  <c r="H32" i="3"/>
  <c r="F32" i="3"/>
  <c r="E32" i="3"/>
  <c r="I18" i="3"/>
  <c r="I32" i="3" l="1"/>
  <c r="C11" i="5" l="1"/>
  <c r="E11" i="5" s="1"/>
  <c r="C12" i="5"/>
  <c r="C32" i="5"/>
  <c r="C22" i="5"/>
  <c r="C31" i="5"/>
  <c r="C21" i="5"/>
  <c r="C10" i="5"/>
  <c r="G10" i="5" s="1"/>
  <c r="C9" i="5"/>
  <c r="D9" i="5" s="1"/>
  <c r="C20" i="5"/>
  <c r="C30" i="5"/>
  <c r="C37" i="8"/>
  <c r="C53" i="5" s="1"/>
  <c r="C38" i="8"/>
  <c r="C54" i="5" s="1"/>
  <c r="C39" i="8"/>
  <c r="C55" i="5" s="1"/>
  <c r="C40" i="8"/>
  <c r="C56" i="5" s="1"/>
  <c r="C41" i="8"/>
  <c r="C57" i="5" s="1"/>
  <c r="C42" i="8"/>
  <c r="C58" i="5" s="1"/>
  <c r="C43" i="8"/>
  <c r="C59" i="5" s="1"/>
  <c r="C36" i="8"/>
  <c r="C52" i="5" s="1"/>
  <c r="I48" i="3"/>
  <c r="I47" i="3"/>
  <c r="I46" i="3"/>
  <c r="I45" i="3"/>
  <c r="I44" i="3"/>
  <c r="I43" i="3"/>
  <c r="I42" i="3"/>
  <c r="I41" i="3"/>
  <c r="F58" i="5" l="1"/>
  <c r="E58" i="5"/>
  <c r="D58" i="5"/>
  <c r="E57" i="5"/>
  <c r="D57" i="5"/>
  <c r="F57" i="5"/>
  <c r="F56" i="5"/>
  <c r="D56" i="5"/>
  <c r="E56" i="5"/>
  <c r="F55" i="5"/>
  <c r="E55" i="5"/>
  <c r="D55" i="5"/>
  <c r="E54" i="5"/>
  <c r="D54" i="5"/>
  <c r="F54" i="5"/>
  <c r="F53" i="5"/>
  <c r="E53" i="5"/>
  <c r="D53" i="5"/>
  <c r="F52" i="5"/>
  <c r="D52" i="5"/>
  <c r="E52" i="5"/>
  <c r="G11" i="5"/>
  <c r="D11" i="5"/>
  <c r="F11" i="5" s="1"/>
  <c r="G12" i="5"/>
  <c r="G43" i="5" s="1"/>
  <c r="C43" i="5"/>
  <c r="E12" i="5"/>
  <c r="E43" i="5" s="1"/>
  <c r="C42" i="5"/>
  <c r="C41" i="5"/>
  <c r="C40" i="5"/>
  <c r="D12" i="5"/>
  <c r="D43" i="5" s="1"/>
  <c r="G9" i="5"/>
  <c r="E9" i="5"/>
  <c r="F9" i="5" s="1"/>
  <c r="D59" i="5"/>
  <c r="E59" i="5"/>
  <c r="F59" i="5"/>
  <c r="E22" i="5"/>
  <c r="D22" i="5"/>
  <c r="G22" i="5"/>
  <c r="D32" i="5"/>
  <c r="G32" i="5"/>
  <c r="E32" i="5"/>
  <c r="G21" i="5"/>
  <c r="D21" i="5"/>
  <c r="E21" i="5"/>
  <c r="E31" i="5"/>
  <c r="D31" i="5"/>
  <c r="G31" i="5"/>
  <c r="D10" i="5"/>
  <c r="E10" i="5"/>
  <c r="G30" i="5"/>
  <c r="E30" i="5"/>
  <c r="D30" i="5"/>
  <c r="E20" i="5"/>
  <c r="G20" i="5"/>
  <c r="D20" i="5"/>
  <c r="G58" i="5" l="1"/>
  <c r="G55" i="5"/>
  <c r="G53" i="5"/>
  <c r="G56" i="5"/>
  <c r="G54" i="5"/>
  <c r="G57" i="5"/>
  <c r="G52" i="5"/>
  <c r="H11" i="5"/>
  <c r="G42" i="5"/>
  <c r="G41" i="5"/>
  <c r="G40" i="5"/>
  <c r="E42" i="5"/>
  <c r="E41" i="5"/>
  <c r="E40" i="5"/>
  <c r="D42" i="5"/>
  <c r="D41" i="5"/>
  <c r="D40" i="5"/>
  <c r="F12" i="5"/>
  <c r="H12" i="5" s="1"/>
  <c r="H9" i="5"/>
  <c r="F21" i="5"/>
  <c r="H21" i="5" s="1"/>
  <c r="G59" i="5"/>
  <c r="F10" i="5"/>
  <c r="H10" i="5" s="1"/>
  <c r="F22" i="5"/>
  <c r="H22" i="5" s="1"/>
  <c r="F32" i="5"/>
  <c r="H32" i="5" s="1"/>
  <c r="F31" i="5"/>
  <c r="F30" i="5"/>
  <c r="H30" i="5" s="1"/>
  <c r="F20" i="5"/>
  <c r="H20" i="5" s="1"/>
  <c r="G61" i="5" l="1"/>
  <c r="F41" i="5"/>
  <c r="H41" i="5" s="1"/>
  <c r="F42" i="5"/>
  <c r="H42" i="5" s="1"/>
  <c r="F40" i="5"/>
  <c r="H40" i="5" s="1"/>
  <c r="F43" i="5"/>
  <c r="H43" i="5" s="1"/>
  <c r="H14" i="5"/>
  <c r="H24" i="5"/>
  <c r="H31" i="5"/>
  <c r="H34" i="5" s="1"/>
  <c r="F49" i="3"/>
  <c r="I49" i="3" s="1"/>
  <c r="C49" i="3"/>
  <c r="H45" i="5" l="1"/>
  <c r="G5" i="5" l="1"/>
  <c r="G49" i="5"/>
  <c r="F11" i="3" l="1"/>
  <c r="G11" i="3"/>
  <c r="H11" i="3"/>
  <c r="I10" i="3" l="1"/>
  <c r="E11" i="3"/>
  <c r="D11" i="3"/>
  <c r="C11" i="3"/>
  <c r="I8" i="3" l="1"/>
  <c r="I9" i="3"/>
  <c r="H25" i="3" l="1"/>
  <c r="I11" i="3"/>
  <c r="F25" i="3" l="1"/>
  <c r="G25" i="3"/>
  <c r="I24" i="3"/>
  <c r="E25" i="3"/>
  <c r="I23" i="3"/>
  <c r="D25" i="3"/>
  <c r="I22" i="3"/>
  <c r="C25" i="3" l="1"/>
  <c r="I25" i="3" l="1"/>
</calcChain>
</file>

<file path=xl/sharedStrings.xml><?xml version="1.0" encoding="utf-8"?>
<sst xmlns="http://schemas.openxmlformats.org/spreadsheetml/2006/main" count="336" uniqueCount="93">
  <si>
    <t>TARIFAS</t>
  </si>
  <si>
    <t>P1 (kWh)</t>
  </si>
  <si>
    <t>P2 (kWh)</t>
  </si>
  <si>
    <t>P3 (kWh)</t>
  </si>
  <si>
    <t>P4 (kWh)</t>
  </si>
  <si>
    <t>P5 (kWh)</t>
  </si>
  <si>
    <t>P6 (kWh)</t>
  </si>
  <si>
    <t>TOTAL</t>
  </si>
  <si>
    <t>P 1</t>
  </si>
  <si>
    <t>P 2</t>
  </si>
  <si>
    <t>P 3</t>
  </si>
  <si>
    <t>P 4</t>
  </si>
  <si>
    <t>P 5</t>
  </si>
  <si>
    <t>P 6</t>
  </si>
  <si>
    <t>COSTES ENERGÍA</t>
  </si>
  <si>
    <t>OMIP</t>
  </si>
  <si>
    <t>(€/MWh)</t>
  </si>
  <si>
    <t>eur/MWh</t>
  </si>
  <si>
    <t>GdO</t>
  </si>
  <si>
    <t>APUNTAMIENTOS (Ap)</t>
  </si>
  <si>
    <t>PAGOS POR CAPACIDAD (eur/MWh)</t>
  </si>
  <si>
    <t>PÉRDIDAS (%)</t>
  </si>
  <si>
    <t xml:space="preserve">𝐒𝐒AAh </t>
  </si>
  <si>
    <t xml:space="preserve">POMh </t>
  </si>
  <si>
    <t xml:space="preserve">POSh </t>
  </si>
  <si>
    <t xml:space="preserve">Inth </t>
  </si>
  <si>
    <t>DATOS PARA COMPLETAR PRECIO</t>
  </si>
  <si>
    <t>Nº SUMINISTROS</t>
  </si>
  <si>
    <t>CONSUMOS 12 meses</t>
  </si>
  <si>
    <t>Término energía CON ATR SIN IEH</t>
  </si>
  <si>
    <t>Termino de Energía (€/MWh)</t>
  </si>
  <si>
    <t>IEH</t>
  </si>
  <si>
    <t>POTENCIAS</t>
  </si>
  <si>
    <t>TÉRMINO DE ENERGÍA CALCULADO   (€/MWh)</t>
  </si>
  <si>
    <t>Término energía CON ATR SIN IE</t>
  </si>
  <si>
    <t>Alquileres</t>
  </si>
  <si>
    <t>2.0TD</t>
  </si>
  <si>
    <t>3.0TD</t>
  </si>
  <si>
    <t>COSTES ENERGÍA ANUALES</t>
  </si>
  <si>
    <t>CG</t>
  </si>
  <si>
    <t>ATR ENERGIA (eur/MWh)</t>
  </si>
  <si>
    <t>RL.1</t>
  </si>
  <si>
    <t>RL.2</t>
  </si>
  <si>
    <t>RL.3</t>
  </si>
  <si>
    <t>RL.4</t>
  </si>
  <si>
    <t>RLPS.2</t>
  </si>
  <si>
    <t>RLTB.5</t>
  </si>
  <si>
    <t>RLTB.6</t>
  </si>
  <si>
    <t>TERMINO FIJO (€/MES)</t>
  </si>
  <si>
    <t>6.1TD</t>
  </si>
  <si>
    <t>6.2TD</t>
  </si>
  <si>
    <t>LOTE 1. ELECTRICIDAD</t>
  </si>
  <si>
    <t>LOTE 2. GAS</t>
  </si>
  <si>
    <t>TOTAL LOTE 2. GAS (euros)</t>
  </si>
  <si>
    <t>ATR POTENCIA eur/kW año</t>
  </si>
  <si>
    <t>T. energía</t>
  </si>
  <si>
    <t>TOTAL (€)</t>
  </si>
  <si>
    <t>T. capacidad</t>
  </si>
  <si>
    <t>RLPS.3</t>
  </si>
  <si>
    <t>MIBGAS GMAES</t>
  </si>
  <si>
    <t>Precio (eur/MWh) = (K₁*PVB MA) + K₂ + FNEE</t>
  </si>
  <si>
    <t>FNEE</t>
  </si>
  <si>
    <t>Total LOTE 1 (euros)</t>
  </si>
  <si>
    <t>TV</t>
  </si>
  <si>
    <t>TF</t>
  </si>
  <si>
    <t>PEAJE</t>
  </si>
  <si>
    <t>FEE</t>
  </si>
  <si>
    <t>RESTO COSTES</t>
  </si>
  <si>
    <t>TM</t>
  </si>
  <si>
    <t>MERMAS</t>
  </si>
  <si>
    <t>€/MES</t>
  </si>
  <si>
    <t>COEFICIENTE k1</t>
  </si>
  <si>
    <t>COEFICIENTE k2 (€/MWh)</t>
  </si>
  <si>
    <t>CORREOS</t>
  </si>
  <si>
    <t>TELECOM</t>
  </si>
  <si>
    <t>* Otros incluye derechos, excesos de potencia y reactiva, etc</t>
  </si>
  <si>
    <t>CEX</t>
  </si>
  <si>
    <t>Total LOTE 1 CORREOS (euros)</t>
  </si>
  <si>
    <t>Total LOTE 1 TELECOM (euros)</t>
  </si>
  <si>
    <t>Total LOTE 1 CEX (euros)</t>
  </si>
  <si>
    <t>T. energía (€)</t>
  </si>
  <si>
    <t>T. potencia (€)</t>
  </si>
  <si>
    <t>Otros (€)</t>
  </si>
  <si>
    <t>IE (€)</t>
  </si>
  <si>
    <t>Alquileres (€)</t>
  </si>
  <si>
    <t>OFERTA</t>
  </si>
  <si>
    <t>Resumen OFERTA</t>
  </si>
  <si>
    <t>LOTE 1 Electricidad</t>
  </si>
  <si>
    <t>LOTE 2 Gas</t>
  </si>
  <si>
    <t>.- Coeficientes objeto de licitación: Celdas verdes.
.- Las celdas con fondo amarillo son los coeficientes regulados que se tomarán como fijos a los efectos del cálculo económico para valorar las ofertas de cada licitador.
.- "DATOS PARA COMPLETAR PRECIO" únicamente a efectos de cálculo.</t>
  </si>
  <si>
    <t>.- Coeficientes objeto de licitación: Celdas verdes.
.- "DATOS PARA COMPLETAR PRECIO" únicamente a efectos de cálculo.
.- Se facturarán los del mes de la entrega</t>
  </si>
  <si>
    <t>* Otros incluye derechos, excesos de potencia y reactiva, etc.</t>
  </si>
  <si>
    <t>(Valor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</si>
</sst>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#,##0\ &quot;€&quot;;\-#,##0\ &quot;€&quot;"/>
    <numFmt numFmtId="7" formatCode="#,##0.00\ &quot;€&quot;;\-#,##0.00\ &quot;€&quot;"/>
    <numFmt numFmtId="43" formatCode="_-* #,##0.00_-;\-* #,##0.00_-;_-* &quot;-&quot;??_-;_-@_-"/>
    <numFmt numFmtId="164" formatCode="_-* #,##0_-;\-* #,##0_-;_-* &quot;-&quot;??_-;_-@_-"/>
    <numFmt numFmtId="165" formatCode="0.000"/>
    <numFmt numFmtId="166" formatCode="_-* #,##0\ &quot;€&quot;_-;\-* #,##0\ &quot;€&quot;_-;_-* &quot;-&quot;??\ &quot;€&quot;_-;_-@_-"/>
    <numFmt numFmtId="167" formatCode="0.0%"/>
    <numFmt numFmtId="168" formatCode="0.0000"/>
    <numFmt numFmtId="169" formatCode="0.00000"/>
  </numFmts>
  <fonts count="2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sz val="12"/>
      <name val="Polo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1.5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rgb="FF000066"/>
      <name val="Calibri"/>
      <family val="2"/>
      <scheme val="minor"/>
    </font>
    <font>
      <b/>
      <u/>
      <sz val="11"/>
      <color rgb="FF000066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rgb="FF000066"/>
      <name val="Calibri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D00"/>
        <bgColor indexed="64"/>
      </patternFill>
    </fill>
    <fill>
      <patternFill patternType="solid">
        <fgColor rgb="FFF3F2F2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7" fillId="0" borderId="0"/>
    <xf numFmtId="9" fontId="6" fillId="0" borderId="0" applyFont="0" applyFill="0" applyBorder="0" applyAlignment="0" applyProtection="0"/>
    <xf numFmtId="0" fontId="10" fillId="0" borderId="0"/>
  </cellStyleXfs>
  <cellXfs count="279">
    <xf numFmtId="0" fontId="0" fillId="0" borderId="0" xfId="0"/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165" fontId="0" fillId="2" borderId="43" xfId="0" applyNumberFormat="1" applyFill="1" applyBorder="1" applyAlignment="1" applyProtection="1">
      <alignment horizontal="center" vertical="center"/>
      <protection locked="0"/>
    </xf>
    <xf numFmtId="165" fontId="0" fillId="2" borderId="43" xfId="1" applyNumberFormat="1" applyFont="1" applyFill="1" applyBorder="1" applyAlignment="1" applyProtection="1">
      <alignment horizontal="center" vertical="center"/>
      <protection locked="0"/>
    </xf>
    <xf numFmtId="165" fontId="0" fillId="2" borderId="30" xfId="1" applyNumberFormat="1" applyFont="1" applyFill="1" applyBorder="1" applyAlignment="1" applyProtection="1">
      <alignment horizontal="center" vertical="center"/>
      <protection locked="0"/>
    </xf>
    <xf numFmtId="165" fontId="0" fillId="2" borderId="3" xfId="1" applyNumberFormat="1" applyFont="1" applyFill="1" applyBorder="1" applyAlignment="1" applyProtection="1">
      <alignment horizontal="center" vertical="center"/>
      <protection locked="0"/>
    </xf>
    <xf numFmtId="165" fontId="0" fillId="2" borderId="30" xfId="0" applyNumberFormat="1" applyFill="1" applyBorder="1" applyAlignment="1" applyProtection="1">
      <alignment horizontal="center" vertical="center"/>
      <protection locked="0"/>
    </xf>
    <xf numFmtId="165" fontId="0" fillId="2" borderId="3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4" borderId="5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10" fontId="0" fillId="4" borderId="16" xfId="3" applyNumberFormat="1" applyFont="1" applyFill="1" applyBorder="1" applyAlignment="1" applyProtection="1">
      <alignment horizontal="center"/>
    </xf>
    <xf numFmtId="10" fontId="0" fillId="4" borderId="17" xfId="3" applyNumberFormat="1" applyFont="1" applyFill="1" applyBorder="1" applyAlignment="1" applyProtection="1">
      <alignment horizontal="center"/>
    </xf>
    <xf numFmtId="10" fontId="0" fillId="4" borderId="18" xfId="3" applyNumberFormat="1" applyFont="1" applyFill="1" applyBorder="1" applyAlignment="1" applyProtection="1">
      <alignment horizontal="center"/>
    </xf>
    <xf numFmtId="10" fontId="0" fillId="4" borderId="13" xfId="3" applyNumberFormat="1" applyFont="1" applyFill="1" applyBorder="1" applyAlignment="1" applyProtection="1">
      <alignment horizontal="center"/>
    </xf>
    <xf numFmtId="10" fontId="0" fillId="4" borderId="7" xfId="3" applyNumberFormat="1" applyFont="1" applyFill="1" applyBorder="1" applyAlignment="1" applyProtection="1">
      <alignment horizontal="center"/>
    </xf>
    <xf numFmtId="10" fontId="0" fillId="4" borderId="14" xfId="3" applyNumberFormat="1" applyFont="1" applyFill="1" applyBorder="1" applyAlignment="1" applyProtection="1">
      <alignment horizontal="center"/>
    </xf>
    <xf numFmtId="10" fontId="0" fillId="4" borderId="8" xfId="3" applyNumberFormat="1" applyFont="1" applyFill="1" applyBorder="1" applyAlignment="1" applyProtection="1">
      <alignment horizontal="center"/>
    </xf>
    <xf numFmtId="10" fontId="0" fillId="4" borderId="9" xfId="3" applyNumberFormat="1" applyFont="1" applyFill="1" applyBorder="1" applyAlignment="1" applyProtection="1">
      <alignment horizontal="center"/>
    </xf>
    <xf numFmtId="10" fontId="0" fillId="4" borderId="10" xfId="3" applyNumberFormat="1" applyFont="1" applyFill="1" applyBorder="1" applyAlignment="1" applyProtection="1">
      <alignment horizontal="center"/>
    </xf>
    <xf numFmtId="0" fontId="13" fillId="0" borderId="0" xfId="0" applyFont="1"/>
    <xf numFmtId="0" fontId="3" fillId="4" borderId="1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4" fillId="4" borderId="16" xfId="0" applyNumberFormat="1" applyFont="1" applyFill="1" applyBorder="1" applyAlignment="1">
      <alignment horizontal="center" vertical="center"/>
    </xf>
    <xf numFmtId="164" fontId="4" fillId="4" borderId="17" xfId="0" applyNumberFormat="1" applyFont="1" applyFill="1" applyBorder="1" applyAlignment="1">
      <alignment horizontal="center" vertical="center"/>
    </xf>
    <xf numFmtId="164" fontId="4" fillId="4" borderId="18" xfId="0" applyNumberFormat="1" applyFont="1" applyFill="1" applyBorder="1" applyAlignment="1">
      <alignment horizontal="center" vertical="center"/>
    </xf>
    <xf numFmtId="3" fontId="4" fillId="4" borderId="43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/>
    </xf>
    <xf numFmtId="164" fontId="4" fillId="4" borderId="12" xfId="0" applyNumberFormat="1" applyFont="1" applyFill="1" applyBorder="1" applyAlignment="1">
      <alignment horizontal="center" vertical="center"/>
    </xf>
    <xf numFmtId="164" fontId="4" fillId="4" borderId="26" xfId="0" applyNumberFormat="1" applyFont="1" applyFill="1" applyBorder="1" applyAlignment="1">
      <alignment horizontal="center" vertical="center"/>
    </xf>
    <xf numFmtId="164" fontId="4" fillId="4" borderId="13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4" fontId="4" fillId="4" borderId="14" xfId="0" applyNumberFormat="1" applyFont="1" applyFill="1" applyBorder="1" applyAlignment="1">
      <alignment horizontal="center" vertical="center"/>
    </xf>
    <xf numFmtId="3" fontId="4" fillId="4" borderId="31" xfId="0" applyNumberFormat="1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164" fontId="4" fillId="4" borderId="21" xfId="0" applyNumberFormat="1" applyFont="1" applyFill="1" applyBorder="1" applyAlignment="1">
      <alignment horizontal="center" vertical="center"/>
    </xf>
    <xf numFmtId="164" fontId="4" fillId="4" borderId="22" xfId="0" applyNumberFormat="1" applyFont="1" applyFill="1" applyBorder="1" applyAlignment="1">
      <alignment horizontal="center" vertical="center"/>
    </xf>
    <xf numFmtId="164" fontId="4" fillId="4" borderId="23" xfId="0" applyNumberFormat="1" applyFont="1" applyFill="1" applyBorder="1" applyAlignment="1">
      <alignment horizontal="center" vertical="center"/>
    </xf>
    <xf numFmtId="3" fontId="4" fillId="4" borderId="42" xfId="0" applyNumberFormat="1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4" borderId="10" xfId="0" applyNumberFormat="1" applyFont="1" applyFill="1" applyBorder="1" applyAlignment="1">
      <alignment horizontal="center" vertical="center"/>
    </xf>
    <xf numFmtId="3" fontId="3" fillId="4" borderId="27" xfId="0" applyNumberFormat="1" applyFont="1" applyFill="1" applyBorder="1" applyAlignment="1">
      <alignment horizontal="center" vertical="center"/>
    </xf>
    <xf numFmtId="3" fontId="3" fillId="4" borderId="28" xfId="0" applyNumberFormat="1" applyFont="1" applyFill="1" applyBorder="1" applyAlignment="1">
      <alignment horizontal="center" vertical="center"/>
    </xf>
    <xf numFmtId="3" fontId="3" fillId="4" borderId="29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3" fontId="3" fillId="0" borderId="0" xfId="0" applyNumberFormat="1" applyFont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0" xfId="3" applyFont="1" applyAlignment="1" applyProtection="1">
      <alignment horizontal="center" vertical="center"/>
    </xf>
    <xf numFmtId="9" fontId="3" fillId="0" borderId="0" xfId="3" applyFont="1" applyAlignment="1" applyProtection="1">
      <alignment vertical="center" wrapText="1"/>
    </xf>
    <xf numFmtId="3" fontId="0" fillId="0" borderId="0" xfId="0" applyNumberFormat="1"/>
    <xf numFmtId="0" fontId="11" fillId="0" borderId="0" xfId="0" applyFont="1"/>
    <xf numFmtId="3" fontId="13" fillId="0" borderId="0" xfId="0" applyNumberFormat="1" applyFont="1"/>
    <xf numFmtId="0" fontId="3" fillId="4" borderId="15" xfId="0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0" fontId="0" fillId="4" borderId="12" xfId="0" applyFill="1" applyBorder="1"/>
    <xf numFmtId="3" fontId="4" fillId="4" borderId="30" xfId="0" applyNumberFormat="1" applyFont="1" applyFill="1" applyBorder="1" applyAlignment="1">
      <alignment horizontal="center" vertical="center"/>
    </xf>
    <xf numFmtId="3" fontId="4" fillId="4" borderId="13" xfId="0" applyNumberFormat="1" applyFont="1" applyFill="1" applyBorder="1" applyAlignment="1">
      <alignment horizontal="center" vertical="center"/>
    </xf>
    <xf numFmtId="0" fontId="0" fillId="4" borderId="7" xfId="0" applyFill="1" applyBorder="1"/>
    <xf numFmtId="3" fontId="4" fillId="4" borderId="8" xfId="0" applyNumberFormat="1" applyFont="1" applyFill="1" applyBorder="1" applyAlignment="1">
      <alignment horizontal="center" vertical="center"/>
    </xf>
    <xf numFmtId="0" fontId="0" fillId="4" borderId="9" xfId="0" applyFill="1" applyBorder="1"/>
    <xf numFmtId="3" fontId="4" fillId="4" borderId="34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3" fontId="3" fillId="4" borderId="44" xfId="0" applyNumberFormat="1" applyFont="1" applyFill="1" applyBorder="1" applyAlignment="1">
      <alignment horizontal="center" vertical="center"/>
    </xf>
    <xf numFmtId="0" fontId="2" fillId="4" borderId="40" xfId="0" applyFont="1" applyFill="1" applyBorder="1"/>
    <xf numFmtId="3" fontId="3" fillId="4" borderId="3" xfId="0" applyNumberFormat="1" applyFont="1" applyFill="1" applyBorder="1" applyAlignment="1">
      <alignment horizontal="center" vertical="center"/>
    </xf>
    <xf numFmtId="165" fontId="0" fillId="2" borderId="7" xfId="0" applyNumberForma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7" fontId="0" fillId="3" borderId="39" xfId="1" applyNumberFormat="1" applyFont="1" applyFill="1" applyBorder="1" applyAlignment="1" applyProtection="1">
      <alignment horizontal="center" vertical="center"/>
    </xf>
    <xf numFmtId="7" fontId="0" fillId="3" borderId="17" xfId="1" applyNumberFormat="1" applyFont="1" applyFill="1" applyBorder="1" applyAlignment="1" applyProtection="1">
      <alignment horizontal="center" vertical="center"/>
    </xf>
    <xf numFmtId="7" fontId="0" fillId="3" borderId="49" xfId="1" applyNumberFormat="1" applyFont="1" applyFill="1" applyBorder="1" applyAlignment="1" applyProtection="1">
      <alignment horizontal="center" vertical="center"/>
    </xf>
    <xf numFmtId="7" fontId="0" fillId="3" borderId="43" xfId="1" applyNumberFormat="1" applyFont="1" applyFill="1" applyBorder="1" applyAlignment="1" applyProtection="1">
      <alignment horizontal="center" vertical="center"/>
    </xf>
    <xf numFmtId="7" fontId="0" fillId="3" borderId="31" xfId="1" applyNumberFormat="1" applyFont="1" applyFill="1" applyBorder="1" applyAlignment="1" applyProtection="1">
      <alignment horizontal="center" vertical="center"/>
    </xf>
    <xf numFmtId="7" fontId="0" fillId="3" borderId="8" xfId="1" applyNumberFormat="1" applyFont="1" applyFill="1" applyBorder="1" applyAlignment="1" applyProtection="1">
      <alignment horizontal="center" vertical="center"/>
    </xf>
    <xf numFmtId="7" fontId="0" fillId="3" borderId="9" xfId="1" applyNumberFormat="1" applyFont="1" applyFill="1" applyBorder="1" applyAlignment="1" applyProtection="1">
      <alignment horizontal="center" vertical="center"/>
    </xf>
    <xf numFmtId="7" fontId="0" fillId="3" borderId="10" xfId="1" applyNumberFormat="1" applyFont="1" applyFill="1" applyBorder="1" applyAlignment="1" applyProtection="1">
      <alignment horizontal="center" vertical="center"/>
    </xf>
    <xf numFmtId="7" fontId="0" fillId="3" borderId="34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0" fontId="18" fillId="0" borderId="0" xfId="0" quotePrefix="1" applyFont="1" applyAlignment="1">
      <alignment vertical="center"/>
    </xf>
    <xf numFmtId="164" fontId="0" fillId="0" borderId="0" xfId="1" applyNumberFormat="1" applyFont="1" applyBorder="1" applyAlignment="1" applyProtection="1">
      <alignment vertical="center"/>
    </xf>
    <xf numFmtId="7" fontId="0" fillId="3" borderId="33" xfId="1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right" vertical="center" indent="1"/>
    </xf>
    <xf numFmtId="5" fontId="14" fillId="0" borderId="0" xfId="1" applyNumberFormat="1" applyFont="1" applyFill="1" applyBorder="1" applyAlignment="1" applyProtection="1">
      <alignment vertical="center"/>
    </xf>
    <xf numFmtId="7" fontId="0" fillId="3" borderId="20" xfId="1" applyNumberFormat="1" applyFont="1" applyFill="1" applyBorder="1" applyAlignment="1" applyProtection="1">
      <alignment horizontal="center" vertical="center"/>
    </xf>
    <xf numFmtId="7" fontId="0" fillId="3" borderId="7" xfId="1" applyNumberFormat="1" applyFont="1" applyFill="1" applyBorder="1" applyAlignment="1" applyProtection="1">
      <alignment horizontal="center" vertical="center"/>
    </xf>
    <xf numFmtId="0" fontId="11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11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5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right" vertical="center" indent="1"/>
    </xf>
    <xf numFmtId="7" fontId="6" fillId="6" borderId="1" xfId="1" applyNumberFormat="1" applyFont="1" applyFill="1" applyBorder="1" applyAlignment="1" applyProtection="1">
      <alignment vertical="center"/>
    </xf>
    <xf numFmtId="7" fontId="14" fillId="6" borderId="2" xfId="1" applyNumberFormat="1" applyFont="1" applyFill="1" applyBorder="1" applyAlignment="1" applyProtection="1">
      <alignment vertical="center"/>
    </xf>
    <xf numFmtId="0" fontId="11" fillId="5" borderId="41" xfId="0" applyFont="1" applyFill="1" applyBorder="1"/>
    <xf numFmtId="0" fontId="13" fillId="5" borderId="41" xfId="0" applyFont="1" applyFill="1" applyBorder="1"/>
    <xf numFmtId="3" fontId="13" fillId="5" borderId="41" xfId="0" applyNumberFormat="1" applyFont="1" applyFill="1" applyBorder="1"/>
    <xf numFmtId="0" fontId="2" fillId="5" borderId="0" xfId="0" applyFont="1" applyFill="1"/>
    <xf numFmtId="167" fontId="1" fillId="4" borderId="56" xfId="3" applyNumberFormat="1" applyFont="1" applyFill="1" applyBorder="1" applyAlignment="1" applyProtection="1">
      <alignment horizontal="center" vertical="center"/>
    </xf>
    <xf numFmtId="167" fontId="1" fillId="4" borderId="53" xfId="3" applyNumberFormat="1" applyFont="1" applyFill="1" applyBorder="1" applyAlignment="1" applyProtection="1">
      <alignment horizontal="center" vertical="center"/>
    </xf>
    <xf numFmtId="167" fontId="1" fillId="4" borderId="0" xfId="3" applyNumberFormat="1" applyFont="1" applyFill="1" applyBorder="1" applyAlignment="1" applyProtection="1">
      <alignment horizontal="center" vertical="center"/>
    </xf>
    <xf numFmtId="167" fontId="1" fillId="4" borderId="57" xfId="3" applyNumberFormat="1" applyFont="1" applyFill="1" applyBorder="1" applyAlignment="1" applyProtection="1">
      <alignment horizontal="center" vertical="center"/>
    </xf>
    <xf numFmtId="167" fontId="1" fillId="4" borderId="63" xfId="3" applyNumberFormat="1" applyFont="1" applyFill="1" applyBorder="1" applyAlignment="1" applyProtection="1">
      <alignment horizontal="center" vertical="center"/>
    </xf>
    <xf numFmtId="167" fontId="1" fillId="4" borderId="64" xfId="3" applyNumberFormat="1" applyFont="1" applyFill="1" applyBorder="1" applyAlignment="1" applyProtection="1">
      <alignment horizontal="center" vertical="center"/>
    </xf>
    <xf numFmtId="168" fontId="0" fillId="2" borderId="46" xfId="0" applyNumberFormat="1" applyFill="1" applyBorder="1" applyProtection="1">
      <protection locked="0"/>
    </xf>
    <xf numFmtId="168" fontId="0" fillId="2" borderId="12" xfId="0" applyNumberFormat="1" applyFill="1" applyBorder="1" applyProtection="1">
      <protection locked="0"/>
    </xf>
    <xf numFmtId="168" fontId="0" fillId="2" borderId="52" xfId="0" applyNumberFormat="1" applyFill="1" applyBorder="1" applyProtection="1">
      <protection locked="0"/>
    </xf>
    <xf numFmtId="168" fontId="0" fillId="2" borderId="32" xfId="0" applyNumberFormat="1" applyFill="1" applyBorder="1" applyProtection="1">
      <protection locked="0"/>
    </xf>
    <xf numFmtId="168" fontId="0" fillId="2" borderId="7" xfId="0" applyNumberFormat="1" applyFill="1" applyBorder="1" applyProtection="1">
      <protection locked="0"/>
    </xf>
    <xf numFmtId="168" fontId="0" fillId="2" borderId="20" xfId="0" applyNumberFormat="1" applyFill="1" applyBorder="1" applyProtection="1">
      <protection locked="0"/>
    </xf>
    <xf numFmtId="168" fontId="0" fillId="2" borderId="14" xfId="0" applyNumberFormat="1" applyFill="1" applyBorder="1" applyProtection="1">
      <protection locked="0"/>
    </xf>
    <xf numFmtId="168" fontId="0" fillId="2" borderId="51" xfId="0" applyNumberFormat="1" applyFill="1" applyBorder="1" applyProtection="1">
      <protection locked="0"/>
    </xf>
    <xf numFmtId="168" fontId="0" fillId="2" borderId="22" xfId="0" applyNumberFormat="1" applyFill="1" applyBorder="1" applyProtection="1">
      <protection locked="0"/>
    </xf>
    <xf numFmtId="168" fontId="0" fillId="2" borderId="53" xfId="0" applyNumberFormat="1" applyFill="1" applyBorder="1" applyProtection="1">
      <protection locked="0"/>
    </xf>
    <xf numFmtId="168" fontId="0" fillId="2" borderId="23" xfId="0" applyNumberFormat="1" applyFill="1" applyBorder="1" applyProtection="1">
      <protection locked="0"/>
    </xf>
    <xf numFmtId="168" fontId="0" fillId="2" borderId="47" xfId="0" applyNumberFormat="1" applyFill="1" applyBorder="1" applyProtection="1">
      <protection locked="0"/>
    </xf>
    <xf numFmtId="168" fontId="0" fillId="2" borderId="9" xfId="0" applyNumberFormat="1" applyFill="1" applyBorder="1" applyProtection="1">
      <protection locked="0"/>
    </xf>
    <xf numFmtId="168" fontId="0" fillId="2" borderId="33" xfId="0" applyNumberFormat="1" applyFill="1" applyBorder="1" applyProtection="1">
      <protection locked="0"/>
    </xf>
    <xf numFmtId="168" fontId="0" fillId="2" borderId="10" xfId="0" applyNumberFormat="1" applyFill="1" applyBorder="1" applyProtection="1">
      <protection locked="0"/>
    </xf>
    <xf numFmtId="7" fontId="0" fillId="0" borderId="0" xfId="0" applyNumberFormat="1" applyAlignment="1">
      <alignment vertical="center"/>
    </xf>
    <xf numFmtId="5" fontId="0" fillId="0" borderId="0" xfId="0" applyNumberFormat="1" applyAlignment="1">
      <alignment vertical="center"/>
    </xf>
    <xf numFmtId="0" fontId="20" fillId="0" borderId="0" xfId="0" applyFont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7" fontId="11" fillId="6" borderId="0" xfId="0" applyNumberFormat="1" applyFont="1" applyFill="1" applyAlignment="1">
      <alignment horizontal="center" vertical="center"/>
    </xf>
    <xf numFmtId="5" fontId="11" fillId="6" borderId="0" xfId="0" applyNumberFormat="1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4" borderId="29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168" fontId="0" fillId="0" borderId="12" xfId="0" applyNumberFormat="1" applyBorder="1" applyProtection="1"/>
    <xf numFmtId="168" fontId="0" fillId="0" borderId="26" xfId="0" applyNumberFormat="1" applyBorder="1" applyProtection="1"/>
    <xf numFmtId="0" fontId="20" fillId="0" borderId="0" xfId="0" applyFont="1" applyProtection="1"/>
    <xf numFmtId="0" fontId="0" fillId="0" borderId="0" xfId="0" applyProtection="1"/>
    <xf numFmtId="0" fontId="22" fillId="5" borderId="0" xfId="0" applyFont="1" applyFill="1" applyAlignment="1" applyProtection="1">
      <alignment horizontal="left" vertical="center" wrapText="1" indent="1"/>
    </xf>
    <xf numFmtId="0" fontId="21" fillId="0" borderId="0" xfId="0" applyFont="1" applyAlignment="1" applyProtection="1">
      <alignment horizontal="center"/>
    </xf>
    <xf numFmtId="0" fontId="22" fillId="5" borderId="45" xfId="0" applyFont="1" applyFill="1" applyBorder="1" applyAlignment="1" applyProtection="1">
      <alignment horizontal="center" vertical="center"/>
    </xf>
    <xf numFmtId="0" fontId="22" fillId="5" borderId="48" xfId="0" applyFont="1" applyFill="1" applyBorder="1" applyAlignment="1" applyProtection="1">
      <alignment horizontal="center" vertical="center"/>
    </xf>
    <xf numFmtId="0" fontId="22" fillId="5" borderId="2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0" xfId="0" applyFont="1" applyProtection="1"/>
    <xf numFmtId="0" fontId="2" fillId="0" borderId="4" xfId="0" applyFont="1" applyBorder="1" applyProtection="1"/>
    <xf numFmtId="0" fontId="23" fillId="8" borderId="5" xfId="0" applyFont="1" applyFill="1" applyBorder="1" applyAlignment="1" applyProtection="1">
      <alignment horizontal="center" vertical="center"/>
    </xf>
    <xf numFmtId="0" fontId="23" fillId="8" borderId="6" xfId="0" applyFont="1" applyFill="1" applyBorder="1" applyAlignment="1" applyProtection="1">
      <alignment horizontal="center" vertical="center"/>
    </xf>
    <xf numFmtId="0" fontId="23" fillId="8" borderId="2" xfId="0" applyFont="1" applyFill="1" applyBorder="1" applyAlignment="1" applyProtection="1">
      <alignment horizontal="center" vertical="center"/>
    </xf>
    <xf numFmtId="0" fontId="23" fillId="8" borderId="5" xfId="0" applyFont="1" applyFill="1" applyBorder="1" applyAlignment="1" applyProtection="1">
      <alignment horizontal="center" vertical="center"/>
    </xf>
    <xf numFmtId="0" fontId="23" fillId="8" borderId="27" xfId="0" applyFont="1" applyFill="1" applyBorder="1" applyAlignment="1" applyProtection="1">
      <alignment horizontal="center" vertical="center"/>
    </xf>
    <xf numFmtId="0" fontId="23" fillId="8" borderId="28" xfId="0" applyFont="1" applyFill="1" applyBorder="1" applyAlignment="1" applyProtection="1">
      <alignment horizontal="center" vertical="center"/>
    </xf>
    <xf numFmtId="0" fontId="23" fillId="8" borderId="29" xfId="0" applyFont="1" applyFill="1" applyBorder="1" applyAlignment="1" applyProtection="1">
      <alignment horizontal="center" vertical="center"/>
    </xf>
    <xf numFmtId="0" fontId="23" fillId="8" borderId="30" xfId="0" applyFont="1" applyFill="1" applyBorder="1" applyAlignment="1" applyProtection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</xf>
    <xf numFmtId="0" fontId="24" fillId="8" borderId="7" xfId="0" applyFont="1" applyFill="1" applyBorder="1" applyAlignment="1" applyProtection="1">
      <alignment horizontal="center" vertical="center"/>
    </xf>
    <xf numFmtId="0" fontId="23" fillId="8" borderId="31" xfId="0" applyFont="1" applyFill="1" applyBorder="1" applyAlignment="1" applyProtection="1">
      <alignment horizontal="center" vertical="center"/>
    </xf>
    <xf numFmtId="0" fontId="23" fillId="8" borderId="34" xfId="0" applyFont="1" applyFill="1" applyBorder="1" applyAlignment="1" applyProtection="1">
      <alignment horizontal="center" vertical="center"/>
    </xf>
    <xf numFmtId="0" fontId="3" fillId="8" borderId="5" xfId="0" applyFont="1" applyFill="1" applyBorder="1" applyAlignment="1" applyProtection="1">
      <alignment horizontal="center" vertical="center"/>
    </xf>
    <xf numFmtId="0" fontId="3" fillId="8" borderId="6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3" fillId="8" borderId="5" xfId="0" applyFont="1" applyFill="1" applyBorder="1" applyAlignment="1" applyProtection="1">
      <alignment horizontal="center" vertical="center"/>
    </xf>
    <xf numFmtId="0" fontId="3" fillId="8" borderId="38" xfId="0" applyFont="1" applyFill="1" applyBorder="1" applyAlignment="1" applyProtection="1">
      <alignment horizontal="center" vertical="center"/>
    </xf>
    <xf numFmtId="0" fontId="3" fillId="8" borderId="36" xfId="0" applyFont="1" applyFill="1" applyBorder="1" applyAlignment="1" applyProtection="1">
      <alignment horizontal="center" vertical="center"/>
    </xf>
    <xf numFmtId="0" fontId="3" fillId="8" borderId="37" xfId="0" applyFont="1" applyFill="1" applyBorder="1" applyAlignment="1" applyProtection="1">
      <alignment horizontal="center" vertical="center"/>
    </xf>
    <xf numFmtId="0" fontId="3" fillId="8" borderId="46" xfId="0" applyFont="1" applyFill="1" applyBorder="1" applyAlignment="1" applyProtection="1">
      <alignment horizontal="center" vertical="center"/>
    </xf>
    <xf numFmtId="0" fontId="0" fillId="0" borderId="7" xfId="0" applyBorder="1" applyProtection="1"/>
    <xf numFmtId="0" fontId="3" fillId="8" borderId="32" xfId="0" applyFont="1" applyFill="1" applyBorder="1" applyAlignment="1" applyProtection="1">
      <alignment horizontal="center" vertical="center"/>
    </xf>
    <xf numFmtId="0" fontId="3" fillId="8" borderId="47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  <xf numFmtId="0" fontId="2" fillId="4" borderId="5" xfId="0" applyFont="1" applyFill="1" applyBorder="1" applyAlignment="1" applyProtection="1">
      <alignment horizontal="center"/>
    </xf>
    <xf numFmtId="0" fontId="2" fillId="4" borderId="6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27" xfId="0" applyFont="1" applyFill="1" applyBorder="1" applyAlignment="1" applyProtection="1">
      <alignment horizontal="center" vertical="center"/>
    </xf>
    <xf numFmtId="0" fontId="3" fillId="4" borderId="28" xfId="0" applyFont="1" applyFill="1" applyBorder="1" applyAlignment="1" applyProtection="1">
      <alignment horizontal="center" vertical="center"/>
    </xf>
    <xf numFmtId="0" fontId="3" fillId="4" borderId="29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</xf>
    <xf numFmtId="169" fontId="0" fillId="4" borderId="12" xfId="0" applyNumberFormat="1" applyFill="1" applyBorder="1" applyAlignment="1" applyProtection="1">
      <alignment horizontal="center"/>
    </xf>
    <xf numFmtId="0" fontId="3" fillId="4" borderId="24" xfId="0" applyFont="1" applyFill="1" applyBorder="1" applyAlignment="1" applyProtection="1">
      <alignment horizontal="center" vertical="center"/>
    </xf>
    <xf numFmtId="0" fontId="3" fillId="4" borderId="30" xfId="0" applyFont="1" applyFill="1" applyBorder="1" applyAlignment="1" applyProtection="1">
      <alignment horizontal="center" vertical="center"/>
    </xf>
    <xf numFmtId="165" fontId="0" fillId="4" borderId="16" xfId="0" applyNumberFormat="1" applyFill="1" applyBorder="1" applyAlignment="1" applyProtection="1">
      <alignment horizontal="center"/>
    </xf>
    <xf numFmtId="165" fontId="0" fillId="4" borderId="17" xfId="0" applyNumberFormat="1" applyFill="1" applyBorder="1" applyAlignment="1" applyProtection="1">
      <alignment horizontal="center"/>
    </xf>
    <xf numFmtId="165" fontId="0" fillId="4" borderId="18" xfId="0" applyNumberFormat="1" applyFill="1" applyBorder="1" applyAlignment="1" applyProtection="1">
      <alignment horizontal="center"/>
    </xf>
    <xf numFmtId="0" fontId="3" fillId="4" borderId="13" xfId="0" applyFont="1" applyFill="1" applyBorder="1" applyAlignment="1" applyProtection="1">
      <alignment horizontal="center" vertical="center"/>
    </xf>
    <xf numFmtId="169" fontId="0" fillId="4" borderId="7" xfId="0" applyNumberFormat="1" applyFill="1" applyBorder="1" applyAlignment="1" applyProtection="1">
      <alignment horizontal="center"/>
    </xf>
    <xf numFmtId="0" fontId="3" fillId="4" borderId="25" xfId="0" applyFont="1" applyFill="1" applyBorder="1" applyAlignment="1" applyProtection="1">
      <alignment horizontal="center" vertical="center"/>
    </xf>
    <xf numFmtId="0" fontId="3" fillId="4" borderId="31" xfId="0" applyFont="1" applyFill="1" applyBorder="1" applyAlignment="1" applyProtection="1">
      <alignment horizontal="center" vertical="center"/>
    </xf>
    <xf numFmtId="165" fontId="0" fillId="4" borderId="13" xfId="0" applyNumberFormat="1" applyFill="1" applyBorder="1" applyAlignment="1" applyProtection="1">
      <alignment horizontal="center"/>
    </xf>
    <xf numFmtId="165" fontId="0" fillId="4" borderId="7" xfId="0" applyNumberFormat="1" applyFill="1" applyBorder="1" applyAlignment="1" applyProtection="1">
      <alignment horizontal="center"/>
    </xf>
    <xf numFmtId="165" fontId="0" fillId="4" borderId="14" xfId="0" applyNumberFormat="1" applyFill="1" applyBorder="1" applyAlignment="1" applyProtection="1">
      <alignment horizontal="center"/>
    </xf>
    <xf numFmtId="169" fontId="4" fillId="4" borderId="7" xfId="0" applyNumberFormat="1" applyFont="1" applyFill="1" applyBorder="1" applyAlignment="1" applyProtection="1">
      <alignment horizontal="center" vertical="center"/>
    </xf>
    <xf numFmtId="0" fontId="3" fillId="4" borderId="34" xfId="0" applyFont="1" applyFill="1" applyBorder="1" applyAlignment="1" applyProtection="1">
      <alignment horizontal="center" vertical="center"/>
    </xf>
    <xf numFmtId="165" fontId="0" fillId="4" borderId="8" xfId="0" applyNumberFormat="1" applyFill="1" applyBorder="1" applyAlignment="1" applyProtection="1">
      <alignment horizontal="center"/>
    </xf>
    <xf numFmtId="165" fontId="0" fillId="4" borderId="9" xfId="0" applyNumberFormat="1" applyFill="1" applyBorder="1" applyAlignment="1" applyProtection="1">
      <alignment horizontal="center"/>
    </xf>
    <xf numFmtId="165" fontId="0" fillId="4" borderId="10" xfId="0" applyNumberFormat="1" applyFill="1" applyBorder="1" applyAlignment="1" applyProtection="1">
      <alignment horizontal="center"/>
    </xf>
    <xf numFmtId="0" fontId="3" fillId="4" borderId="44" xfId="0" applyFont="1" applyFill="1" applyBorder="1" applyAlignment="1" applyProtection="1">
      <alignment horizontal="center" vertical="center"/>
    </xf>
    <xf numFmtId="169" fontId="0" fillId="4" borderId="40" xfId="0" applyNumberForma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16" fillId="0" borderId="0" xfId="0" applyFont="1" applyProtection="1"/>
    <xf numFmtId="0" fontId="0" fillId="4" borderId="11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0" fontId="0" fillId="4" borderId="26" xfId="0" applyFill="1" applyBorder="1" applyAlignment="1" applyProtection="1">
      <alignment horizontal="center"/>
    </xf>
    <xf numFmtId="0" fontId="0" fillId="4" borderId="13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0" fontId="0" fillId="4" borderId="14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22" fillId="5" borderId="0" xfId="0" applyFont="1" applyFill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2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4" borderId="45" xfId="0" applyFont="1" applyFill="1" applyBorder="1" applyAlignment="1" applyProtection="1">
      <alignment horizontal="center" vertical="center"/>
    </xf>
    <xf numFmtId="0" fontId="2" fillId="4" borderId="48" xfId="0" applyFont="1" applyFill="1" applyBorder="1" applyAlignment="1" applyProtection="1">
      <alignment horizontal="center" vertical="center"/>
    </xf>
    <xf numFmtId="0" fontId="2" fillId="4" borderId="2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3" fillId="5" borderId="5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/>
    </xf>
    <xf numFmtId="0" fontId="3" fillId="5" borderId="2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43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3" fillId="0" borderId="34" xfId="0" applyFont="1" applyBorder="1" applyAlignment="1" applyProtection="1">
      <alignment horizontal="center" vertical="center"/>
    </xf>
    <xf numFmtId="0" fontId="17" fillId="0" borderId="0" xfId="0" applyFont="1" applyProtection="1"/>
    <xf numFmtId="0" fontId="17" fillId="4" borderId="46" xfId="0" applyFont="1" applyFill="1" applyBorder="1" applyAlignment="1" applyProtection="1">
      <alignment horizontal="center" vertical="center"/>
    </xf>
    <xf numFmtId="0" fontId="17" fillId="4" borderId="58" xfId="0" applyFont="1" applyFill="1" applyBorder="1" applyAlignment="1" applyProtection="1">
      <alignment horizontal="center" vertical="center"/>
    </xf>
    <xf numFmtId="0" fontId="17" fillId="4" borderId="26" xfId="0" applyFont="1" applyFill="1" applyBorder="1" applyAlignment="1" applyProtection="1">
      <alignment horizontal="center" vertical="center"/>
    </xf>
    <xf numFmtId="0" fontId="17" fillId="4" borderId="32" xfId="0" applyFont="1" applyFill="1" applyBorder="1" applyAlignment="1" applyProtection="1">
      <alignment horizontal="center" vertical="center"/>
    </xf>
    <xf numFmtId="0" fontId="17" fillId="4" borderId="48" xfId="0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</xf>
    <xf numFmtId="0" fontId="17" fillId="4" borderId="38" xfId="0" applyFont="1" applyFill="1" applyBorder="1" applyAlignment="1" applyProtection="1">
      <alignment horizontal="right"/>
    </xf>
    <xf numFmtId="165" fontId="1" fillId="4" borderId="55" xfId="0" applyNumberFormat="1" applyFont="1" applyFill="1" applyBorder="1" applyAlignment="1" applyProtection="1">
      <alignment horizontal="center" vertical="center"/>
    </xf>
    <xf numFmtId="1" fontId="1" fillId="4" borderId="56" xfId="0" applyNumberFormat="1" applyFont="1" applyFill="1" applyBorder="1" applyAlignment="1" applyProtection="1">
      <alignment horizontal="center" vertical="center"/>
    </xf>
    <xf numFmtId="2" fontId="1" fillId="4" borderId="60" xfId="0" applyNumberFormat="1" applyFont="1" applyFill="1" applyBorder="1" applyAlignment="1" applyProtection="1">
      <alignment horizontal="center" vertical="center"/>
    </xf>
    <xf numFmtId="0" fontId="17" fillId="4" borderId="59" xfId="0" applyFont="1" applyFill="1" applyBorder="1" applyAlignment="1" applyProtection="1">
      <alignment horizontal="right"/>
    </xf>
    <xf numFmtId="165" fontId="1" fillId="4" borderId="54" xfId="0" applyNumberFormat="1" applyFont="1" applyFill="1" applyBorder="1" applyAlignment="1" applyProtection="1">
      <alignment horizontal="center" vertical="center"/>
    </xf>
    <xf numFmtId="1" fontId="1" fillId="4" borderId="0" xfId="0" applyNumberFormat="1" applyFont="1" applyFill="1" applyAlignment="1" applyProtection="1">
      <alignment horizontal="center" vertical="center"/>
    </xf>
    <xf numFmtId="0" fontId="17" fillId="4" borderId="61" xfId="0" applyFont="1" applyFill="1" applyBorder="1" applyAlignment="1" applyProtection="1">
      <alignment horizontal="right"/>
    </xf>
    <xf numFmtId="165" fontId="1" fillId="4" borderId="62" xfId="0" applyNumberFormat="1" applyFont="1" applyFill="1" applyBorder="1" applyAlignment="1" applyProtection="1">
      <alignment horizontal="center" vertical="center"/>
    </xf>
    <xf numFmtId="1" fontId="1" fillId="4" borderId="63" xfId="0" applyNumberFormat="1" applyFont="1" applyFill="1" applyBorder="1" applyAlignment="1" applyProtection="1">
      <alignment horizontal="center" vertical="center"/>
    </xf>
    <xf numFmtId="2" fontId="1" fillId="4" borderId="65" xfId="0" applyNumberFormat="1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43" xfId="0" applyFont="1" applyFill="1" applyBorder="1" applyAlignment="1" applyProtection="1">
      <alignment horizontal="center" vertical="center"/>
    </xf>
    <xf numFmtId="165" fontId="0" fillId="6" borderId="43" xfId="0" applyNumberFormat="1" applyFill="1" applyBorder="1" applyAlignment="1" applyProtection="1">
      <alignment horizontal="center" vertical="center"/>
    </xf>
    <xf numFmtId="0" fontId="3" fillId="6" borderId="31" xfId="0" applyFont="1" applyFill="1" applyBorder="1" applyAlignment="1" applyProtection="1">
      <alignment horizontal="center" vertical="center"/>
    </xf>
    <xf numFmtId="0" fontId="3" fillId="6" borderId="34" xfId="0" applyFont="1" applyFill="1" applyBorder="1" applyAlignment="1" applyProtection="1">
      <alignment horizontal="center" vertical="center"/>
    </xf>
  </cellXfs>
  <cellStyles count="5">
    <cellStyle name="% 2 2" xfId="2" xr:uid="{00000000-0005-0000-0000-000000000000}"/>
    <cellStyle name="% 4" xfId="4" xr:uid="{00000000-0005-0000-0000-000001000000}"/>
    <cellStyle name="Millares" xfId="1" builtinId="3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000066"/>
      <color rgb="FFFFCD00"/>
      <color rgb="FFF3F2F2"/>
      <color rgb="FF1ECAD3"/>
      <color rgb="FF348F41"/>
      <color rgb="FF3BFF94"/>
      <color rgb="FF2DFF8C"/>
      <color rgb="FF01FF74"/>
      <color rgb="FFFFFF4B"/>
      <color rgb="FFFFFF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7</xdr:row>
      <xdr:rowOff>161925</xdr:rowOff>
    </xdr:from>
    <xdr:to>
      <xdr:col>9</xdr:col>
      <xdr:colOff>246934</xdr:colOff>
      <xdr:row>10</xdr:row>
      <xdr:rowOff>173284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3E8F58-8CFB-61FA-17DF-1A41062BD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2286000"/>
          <a:ext cx="5723809" cy="571429"/>
        </a:xfrm>
        <a:prstGeom prst="rect">
          <a:avLst/>
        </a:prstGeom>
        <a:solidFill>
          <a:srgbClr val="F3F2F2"/>
        </a:solidFill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D00"/>
    <pageSetUpPr fitToPage="1"/>
  </sheetPr>
  <dimension ref="B1:K61"/>
  <sheetViews>
    <sheetView showGridLines="0" tabSelected="1" workbookViewId="0"/>
  </sheetViews>
  <sheetFormatPr baseColWidth="10" defaultColWidth="11.44140625" defaultRowHeight="14.4"/>
  <cols>
    <col min="1" max="1" width="3.33203125" style="1" customWidth="1"/>
    <col min="2" max="2" width="11.44140625" style="1"/>
    <col min="3" max="7" width="18" style="1" customWidth="1"/>
    <col min="8" max="8" width="15.33203125" style="1" bestFit="1" customWidth="1"/>
    <col min="9" max="9" width="11.88671875" style="1" bestFit="1" customWidth="1"/>
    <col min="10" max="10" width="14.109375" style="1" bestFit="1" customWidth="1"/>
    <col min="11" max="16384" width="11.44140625" style="1"/>
  </cols>
  <sheetData>
    <row r="1" spans="2:10" ht="33" customHeight="1">
      <c r="B1" s="147" t="s">
        <v>86</v>
      </c>
      <c r="C1" s="147"/>
      <c r="D1" s="147"/>
      <c r="E1" s="147"/>
      <c r="F1" s="147"/>
      <c r="G1" s="147"/>
    </row>
    <row r="2" spans="2:10" ht="15" thickBot="1"/>
    <row r="3" spans="2:10" s="77" customFormat="1" ht="30.75" customHeight="1" thickBot="1">
      <c r="B3" s="148" t="s">
        <v>85</v>
      </c>
      <c r="C3" s="149"/>
      <c r="I3" s="78"/>
    </row>
    <row r="4" spans="2:10" ht="15.6">
      <c r="H4" s="77"/>
      <c r="I4" s="79"/>
    </row>
    <row r="5" spans="2:10" s="77" customFormat="1" ht="15.6">
      <c r="B5" s="101" t="s">
        <v>51</v>
      </c>
      <c r="C5" s="101"/>
      <c r="D5" s="102"/>
      <c r="E5" s="102"/>
      <c r="F5" s="102"/>
      <c r="G5" s="150" t="str">
        <f>H45</f>
        <v>-</v>
      </c>
      <c r="H5" s="150"/>
    </row>
    <row r="6" spans="2:10" s="77" customFormat="1" ht="10.95" customHeight="1" thickBot="1">
      <c r="B6" s="2"/>
      <c r="C6" s="2"/>
      <c r="G6" s="80"/>
      <c r="H6" s="81"/>
    </row>
    <row r="7" spans="2:10" ht="16.2" thickBot="1">
      <c r="B7" s="103" t="s">
        <v>73</v>
      </c>
    </row>
    <row r="8" spans="2:10" ht="31.2" customHeight="1" thickBot="1">
      <c r="B8" s="104" t="s">
        <v>0</v>
      </c>
      <c r="C8" s="108" t="s">
        <v>80</v>
      </c>
      <c r="D8" s="109" t="s">
        <v>81</v>
      </c>
      <c r="E8" s="109" t="s">
        <v>82</v>
      </c>
      <c r="F8" s="109" t="s">
        <v>83</v>
      </c>
      <c r="G8" s="110" t="s">
        <v>84</v>
      </c>
      <c r="H8" s="104" t="s">
        <v>56</v>
      </c>
      <c r="J8" s="82"/>
    </row>
    <row r="9" spans="2:10" ht="15.6">
      <c r="B9" s="105" t="s">
        <v>36</v>
      </c>
      <c r="C9" s="83" t="str">
        <f>IF(COUNTA('LOTE 1. Electricidad'!$C$15:$E$15,'LOTE 1. Electricidad'!L15:L16)=5,SUMPRODUCT('LOTE 1. Electricidad'!C23:H23,'Datos CONSUMOS'!C7:H7)/1000,"-")</f>
        <v>-</v>
      </c>
      <c r="D9" s="84" t="str">
        <f>IF($C$9="-","-",SUMPRODUCT('LOTE 1. Electricidad'!C53:H53,'Datos CONSUMOS'!L7:Q7))</f>
        <v>-</v>
      </c>
      <c r="E9" s="84" t="str">
        <f>IF($C$9="-","-",34109.083550336)</f>
        <v>-</v>
      </c>
      <c r="F9" s="84" t="str">
        <f>IF($C$9="-","-",(C9+D9+E9)*0.051127)</f>
        <v>-</v>
      </c>
      <c r="G9" s="85" t="str">
        <f>IF($C$9="-","-",7059.88965645098)</f>
        <v>-</v>
      </c>
      <c r="H9" s="86" t="str">
        <f>IF($C$9="-","-",SUM(C9:G9))</f>
        <v>-</v>
      </c>
      <c r="J9" s="82"/>
    </row>
    <row r="10" spans="2:10">
      <c r="B10" s="106" t="s">
        <v>37</v>
      </c>
      <c r="C10" s="83" t="str">
        <f>IF(COUNTA('LOTE 1. Electricidad'!$C$16:$H$16,'LOTE 1. Electricidad'!L15:L16)=8,SUMPRODUCT('LOTE 1. Electricidad'!C24:H24,'Datos CONSUMOS'!C8:H8)/1000,"-")</f>
        <v>-</v>
      </c>
      <c r="D10" s="84" t="str">
        <f>IF($C$10="-","-",SUMPRODUCT('LOTE 1. Electricidad'!C54:H54,'Datos CONSUMOS'!L8:Q8))</f>
        <v>-</v>
      </c>
      <c r="E10" s="84" t="str">
        <f>IF($C$10="-","-",501159.045178696)</f>
        <v>-</v>
      </c>
      <c r="F10" s="84" t="str">
        <f>IF($C$10="-","-",(C10+D10+E10)*0.051127)</f>
        <v>-</v>
      </c>
      <c r="G10" s="85" t="str">
        <f>IF($C$10="-","-",128239.651158792)</f>
        <v>-</v>
      </c>
      <c r="H10" s="87" t="str">
        <f>IF($C$10="-","-",SUM(C10:G10))</f>
        <v>-</v>
      </c>
    </row>
    <row r="11" spans="2:10">
      <c r="B11" s="106" t="s">
        <v>49</v>
      </c>
      <c r="C11" s="83" t="str">
        <f>IF(COUNTA('LOTE 1. Electricidad'!$C$17:$H$17,'LOTE 1. Electricidad'!$L$15:$L$16)=8,SUMPRODUCT('LOTE 1. Electricidad'!C25:H25,'Datos CONSUMOS'!C9:H9)/1000,"-")</f>
        <v>-</v>
      </c>
      <c r="D11" s="84" t="str">
        <f>IF($C$11="-","-",SUMPRODUCT('LOTE 1. Electricidad'!C55:H55,'Datos CONSUMOS'!L9:Q9))</f>
        <v>-</v>
      </c>
      <c r="E11" s="84" t="str">
        <f>IF($C$11="-","-",276462.283875661)</f>
        <v>-</v>
      </c>
      <c r="F11" s="84" t="str">
        <f>IF($C$11="-","-",(C11+D11+E11)*0.051127)</f>
        <v>-</v>
      </c>
      <c r="G11" s="85" t="str">
        <f>IF($C$11="-","-",8629.06960334534)</f>
        <v>-</v>
      </c>
      <c r="H11" s="87" t="str">
        <f>IF($C$11="-","-",SUM(C11:G11))</f>
        <v>-</v>
      </c>
    </row>
    <row r="12" spans="2:10" ht="15" thickBot="1">
      <c r="B12" s="107" t="s">
        <v>50</v>
      </c>
      <c r="C12" s="88" t="str">
        <f>IF(COUNTA('LOTE 1. Electricidad'!$C$18:$H$18,'LOTE 1. Electricidad'!$L$15:$L$16)=8,SUMPRODUCT('LOTE 1. Electricidad'!C26:H26,'Datos CONSUMOS'!C10:H10)/1000,"-")</f>
        <v>-</v>
      </c>
      <c r="D12" s="89" t="str">
        <f>IF($C$12="-","-",SUMPRODUCT('LOTE 1. Electricidad'!C56:H56,'Datos CONSUMOS'!L10:Q10))</f>
        <v>-</v>
      </c>
      <c r="E12" s="89" t="str">
        <f>IF($C$12="-","-",12200)</f>
        <v>-</v>
      </c>
      <c r="F12" s="89" t="str">
        <f>IF($C$12="-","-",(C12+D12+E12)*0.051127)</f>
        <v>-</v>
      </c>
      <c r="G12" s="90" t="str">
        <f>IF($C$12="-","-",367.0725)</f>
        <v>-</v>
      </c>
      <c r="H12" s="91" t="str">
        <f>IF($C$12="-","-",SUM(C12:G12))</f>
        <v>-</v>
      </c>
    </row>
    <row r="13" spans="2:10" ht="8.25" customHeight="1" thickBot="1">
      <c r="D13" s="92"/>
      <c r="G13" s="93"/>
      <c r="H13" s="92"/>
    </row>
    <row r="14" spans="2:10" ht="15" thickBot="1">
      <c r="B14" s="94" t="s">
        <v>91</v>
      </c>
      <c r="F14" s="112"/>
      <c r="G14" s="113" t="s">
        <v>77</v>
      </c>
      <c r="H14" s="118" t="str">
        <f>IF(COUNT(H9:H12)=4,SUM(H9:H12),"-")</f>
        <v>-</v>
      </c>
      <c r="I14" s="146"/>
    </row>
    <row r="15" spans="2:10" customFormat="1" ht="9.75" customHeight="1">
      <c r="E15" s="1"/>
      <c r="I15" s="1"/>
    </row>
    <row r="17" spans="2:10" ht="6.75" customHeight="1" thickBot="1">
      <c r="H17" s="95"/>
    </row>
    <row r="18" spans="2:10" ht="16.2" thickBot="1">
      <c r="B18" s="103" t="s">
        <v>74</v>
      </c>
    </row>
    <row r="19" spans="2:10" ht="31.2" customHeight="1" thickBot="1">
      <c r="B19" s="104" t="s">
        <v>0</v>
      </c>
      <c r="C19" s="108" t="s">
        <v>80</v>
      </c>
      <c r="D19" s="109" t="s">
        <v>81</v>
      </c>
      <c r="E19" s="109" t="s">
        <v>82</v>
      </c>
      <c r="F19" s="109" t="s">
        <v>83</v>
      </c>
      <c r="G19" s="110" t="s">
        <v>84</v>
      </c>
      <c r="H19" s="104" t="s">
        <v>56</v>
      </c>
      <c r="J19" s="82"/>
    </row>
    <row r="20" spans="2:10" ht="15.6">
      <c r="B20" s="111" t="s">
        <v>36</v>
      </c>
      <c r="C20" s="83" t="str">
        <f>IF(COUNTA('LOTE 1. Electricidad'!$C$15:$E$15,'LOTE 1. Electricidad'!L15:L16)=5,SUMPRODUCT('LOTE 1. Electricidad'!C23:H23,'Datos CONSUMOS'!C14:H14)/1000,"-")</f>
        <v>-</v>
      </c>
      <c r="D20" s="84" t="str">
        <f>IF($C$20="-","-",SUMPRODUCT('LOTE 1. Electricidad'!C53:H53,'Datos CONSUMOS'!L14:Q14))</f>
        <v>-</v>
      </c>
      <c r="E20" s="84" t="str">
        <f>IF($C$20="-","-",2177.95693697036)</f>
        <v>-</v>
      </c>
      <c r="F20" s="84" t="str">
        <f>IF($C$20="-","-",(C20+D20+E20)*0.051127)</f>
        <v>-</v>
      </c>
      <c r="G20" s="85" t="str">
        <f>IF($C$20="-","-",450.792986824802)</f>
        <v>-</v>
      </c>
      <c r="H20" s="86" t="str">
        <f>IF($C$20="-","-",SUM(C20:G20))</f>
        <v>-</v>
      </c>
      <c r="J20" s="82"/>
    </row>
    <row r="21" spans="2:10">
      <c r="B21" s="106" t="s">
        <v>37</v>
      </c>
      <c r="C21" s="83" t="str">
        <f>IF(COUNTA('LOTE 1. Electricidad'!$C$16:$H$16,'LOTE 1. Electricidad'!L15:L16)=8,SUMPRODUCT('LOTE 1. Electricidad'!C24:H24,'Datos CONSUMOS'!C15:H15)/1000,"-")</f>
        <v>-</v>
      </c>
      <c r="D21" s="84" t="str">
        <f>IF($C$21="-","-",SUMPRODUCT('LOTE 1. Electricidad'!C54:H54,'Datos CONSUMOS'!L15:Q15))</f>
        <v>-</v>
      </c>
      <c r="E21" s="84" t="str">
        <f>IF($C$21="-","-",7263.5379015208)</f>
        <v>-</v>
      </c>
      <c r="F21" s="84" t="str">
        <f>IF($C$21="-","-",(C21+D21+E21)*0.051127)</f>
        <v>-</v>
      </c>
      <c r="G21" s="85" t="str">
        <f>IF($C$21="-","-",1858.63864102775)</f>
        <v>-</v>
      </c>
      <c r="H21" s="87" t="str">
        <f>IF($C$21="-","-",SUM(C21:G21))</f>
        <v>-</v>
      </c>
    </row>
    <row r="22" spans="2:10" ht="15" thickBot="1">
      <c r="B22" s="107" t="s">
        <v>49</v>
      </c>
      <c r="C22" s="88" t="str">
        <f>IF(COUNTA('LOTE 1. Electricidad'!$C$17:$H$17,'LOTE 1. Electricidad'!$L$15:$L$16)=8,SUMPRODUCT('LOTE 1. Electricidad'!C25:H25,'Datos CONSUMOS'!C16:H16)/1000,"-")</f>
        <v>-</v>
      </c>
      <c r="D22" s="89" t="str">
        <f>IF($C$22="-","-",SUMPRODUCT('LOTE 1. Electricidad'!C55:H55,'Datos CONSUMOS'!L16:Q16))</f>
        <v>-</v>
      </c>
      <c r="E22" s="89" t="str">
        <f>IF($C$22="-","-",1108.31462305817)</f>
        <v>-</v>
      </c>
      <c r="F22" s="89" t="str">
        <f>IF($C$22="-","-",(C22+D22+E22)*0.051127)</f>
        <v>-</v>
      </c>
      <c r="G22" s="90" t="str">
        <f>IF($C$22="-","-",34.5932323595928)</f>
        <v>-</v>
      </c>
      <c r="H22" s="91" t="str">
        <f>IF($C$22="-","-",SUM(C22:G22))</f>
        <v>-</v>
      </c>
    </row>
    <row r="23" spans="2:10" ht="8.25" customHeight="1" thickBot="1">
      <c r="D23" s="92"/>
      <c r="G23" s="93"/>
      <c r="H23" s="92"/>
    </row>
    <row r="24" spans="2:10" ht="15" thickBot="1">
      <c r="B24" s="94" t="s">
        <v>75</v>
      </c>
      <c r="F24" s="112"/>
      <c r="G24" s="113" t="s">
        <v>78</v>
      </c>
      <c r="H24" s="118" t="str">
        <f>IF(COUNT(H20:H22)=3,SUM(H20:H22),"-")</f>
        <v>-</v>
      </c>
    </row>
    <row r="25" spans="2:10" customFormat="1" ht="9.75" customHeight="1">
      <c r="E25" s="1"/>
      <c r="I25" s="1"/>
    </row>
    <row r="27" spans="2:10" ht="6.75" customHeight="1" thickBot="1">
      <c r="H27" s="95"/>
    </row>
    <row r="28" spans="2:10" ht="16.2" thickBot="1">
      <c r="B28" s="103" t="s">
        <v>76</v>
      </c>
    </row>
    <row r="29" spans="2:10" ht="31.2" customHeight="1" thickBot="1">
      <c r="B29" s="104" t="s">
        <v>0</v>
      </c>
      <c r="C29" s="108" t="s">
        <v>80</v>
      </c>
      <c r="D29" s="109" t="s">
        <v>81</v>
      </c>
      <c r="E29" s="109" t="s">
        <v>82</v>
      </c>
      <c r="F29" s="109" t="s">
        <v>83</v>
      </c>
      <c r="G29" s="110" t="s">
        <v>84</v>
      </c>
      <c r="H29" s="104" t="s">
        <v>56</v>
      </c>
      <c r="J29" s="82"/>
    </row>
    <row r="30" spans="2:10" ht="15.6">
      <c r="B30" s="105" t="s">
        <v>36</v>
      </c>
      <c r="C30" s="83" t="str">
        <f>IF(COUNTA('LOTE 1. Electricidad'!$C$15:$E$15,'LOTE 1. Electricidad'!L15:L16)=5,SUMPRODUCT('LOTE 1. Electricidad'!C23:H23,'Datos CONSUMOS'!C22:H22)/1000,"-")</f>
        <v>-</v>
      </c>
      <c r="D30" s="84" t="str">
        <f>IF($C$30="-","-",SUMPRODUCT('LOTE 1. Electricidad'!C53:H53,'Datos CONSUMOS'!L22:Q22))</f>
        <v>-</v>
      </c>
      <c r="E30" s="84" t="str">
        <f>IF($C$30="-","-",12.9595126936415)</f>
        <v>-</v>
      </c>
      <c r="F30" s="84" t="str">
        <f>IF($C$30="-","-",(C30+D30+E30)*0.051127)</f>
        <v>-</v>
      </c>
      <c r="G30" s="85" t="str">
        <f>IF($C$30="-","-",2.6823567242276)</f>
        <v>-</v>
      </c>
      <c r="H30" s="86" t="str">
        <f>IF($C$30="-","-",SUM(C30:G30))</f>
        <v>-</v>
      </c>
      <c r="J30" s="82"/>
    </row>
    <row r="31" spans="2:10">
      <c r="B31" s="106" t="s">
        <v>37</v>
      </c>
      <c r="C31" s="83" t="str">
        <f>IF(COUNTA('LOTE 1. Electricidad'!$C$16:$H$16,'LOTE 1. Electricidad'!L15:L16)=8,SUMPRODUCT('LOTE 1. Electricidad'!C24:H24,'Datos CONSUMOS'!C23:H23)/1000,"-")</f>
        <v>-</v>
      </c>
      <c r="D31" s="84" t="str">
        <f>IF($C$31="-","-",SUMPRODUCT('LOTE 1. Electricidad'!C54:H54,'Datos CONSUMOS'!L23:Q23))</f>
        <v>-</v>
      </c>
      <c r="E31" s="84" t="str">
        <f>IF($C$31="-","-",46577.4169197827)</f>
        <v>-</v>
      </c>
      <c r="F31" s="84" t="str">
        <f>IF($C$31="-","-",(C31+D31+E31)*0.051127)</f>
        <v>-</v>
      </c>
      <c r="G31" s="85" t="str">
        <f>IF($C$31="-","-",11918.5152001812)</f>
        <v>-</v>
      </c>
      <c r="H31" s="87" t="str">
        <f>IF($C$31="-","-",SUM(C31:G31))</f>
        <v>-</v>
      </c>
    </row>
    <row r="32" spans="2:10" ht="15" thickBot="1">
      <c r="B32" s="107" t="s">
        <v>49</v>
      </c>
      <c r="C32" s="88" t="str">
        <f>IF(COUNTA('LOTE 1. Electricidad'!$C$17:$H$17,'LOTE 1. Electricidad'!$L$15:$L$16)=8,SUMPRODUCT('LOTE 1. Electricidad'!C25:H25,'Datos CONSUMOS'!C24:H24)/1000,"-")</f>
        <v>-</v>
      </c>
      <c r="D32" s="89" t="str">
        <f>IF($C$32="-","-",SUMPRODUCT('LOTE 1. Electricidad'!C55:H55,'Datos CONSUMOS'!L24:Q24))</f>
        <v>-</v>
      </c>
      <c r="E32" s="89" t="str">
        <f>IF($C$32="-","-",5429.40150128089)</f>
        <v>-</v>
      </c>
      <c r="F32" s="89" t="str">
        <f>IF($C$32="-","-",(C32+D32+E32)*0.051127)</f>
        <v>-</v>
      </c>
      <c r="G32" s="90" t="str">
        <f>IF($C$32="-","-",169.465009122661)</f>
        <v>-</v>
      </c>
      <c r="H32" s="91" t="str">
        <f>IF($C$32="-","-",SUM(C32:G32))</f>
        <v>-</v>
      </c>
    </row>
    <row r="33" spans="2:11" ht="8.25" customHeight="1" thickBot="1">
      <c r="D33" s="92"/>
      <c r="G33" s="93"/>
      <c r="H33" s="92"/>
    </row>
    <row r="34" spans="2:11" ht="15" thickBot="1">
      <c r="B34" s="94" t="s">
        <v>75</v>
      </c>
      <c r="F34" s="112"/>
      <c r="G34" s="113" t="s">
        <v>79</v>
      </c>
      <c r="H34" s="118" t="str">
        <f>IF(COUNT(H30:H32)=3,SUM(H30:H32),"-")</f>
        <v>-</v>
      </c>
      <c r="I34" s="146"/>
    </row>
    <row r="35" spans="2:11" customFormat="1" ht="9.75" customHeight="1">
      <c r="E35" s="1"/>
      <c r="I35" s="1"/>
    </row>
    <row r="37" spans="2:11" customFormat="1" ht="9.75" customHeight="1" thickBot="1">
      <c r="E37" s="1"/>
      <c r="I37" s="1"/>
    </row>
    <row r="38" spans="2:11" ht="16.2" thickBot="1">
      <c r="B38" s="103" t="s">
        <v>7</v>
      </c>
    </row>
    <row r="39" spans="2:11" ht="31.2" customHeight="1" thickBot="1">
      <c r="B39" s="104" t="s">
        <v>0</v>
      </c>
      <c r="C39" s="108" t="s">
        <v>80</v>
      </c>
      <c r="D39" s="109" t="s">
        <v>81</v>
      </c>
      <c r="E39" s="109" t="s">
        <v>82</v>
      </c>
      <c r="F39" s="109" t="s">
        <v>83</v>
      </c>
      <c r="G39" s="110" t="s">
        <v>84</v>
      </c>
      <c r="H39" s="104" t="s">
        <v>56</v>
      </c>
      <c r="J39" s="82"/>
    </row>
    <row r="40" spans="2:11" ht="15.6">
      <c r="B40" s="105" t="s">
        <v>36</v>
      </c>
      <c r="C40" s="83" t="str">
        <f>IF(COUNTA('LOTE 1. Electricidad'!$C$15:$E$15,'LOTE 1. Electricidad'!L15:L16)=5,C30+C20+C9,"-")</f>
        <v>-</v>
      </c>
      <c r="D40" s="83" t="str">
        <f>IF($C$40="-","-",D30+D20+D9)</f>
        <v>-</v>
      </c>
      <c r="E40" s="84" t="str">
        <f>IF($C$40="-","-",E30+E20+E9)</f>
        <v>-</v>
      </c>
      <c r="F40" s="84" t="str">
        <f>IF($C$40="-","-",F30+F20+F9)</f>
        <v>-</v>
      </c>
      <c r="G40" s="84" t="str">
        <f>IF($C$40="-","-",G30+G20+G9)</f>
        <v>-</v>
      </c>
      <c r="H40" s="86" t="str">
        <f>IF($C$40="-","-",SUM(C40:G40))</f>
        <v>-</v>
      </c>
      <c r="J40" s="82"/>
    </row>
    <row r="41" spans="2:11">
      <c r="B41" s="106" t="s">
        <v>37</v>
      </c>
      <c r="C41" s="83" t="str">
        <f>IF(COUNTA('LOTE 1. Electricidad'!$C$16:$H$16,'LOTE 1. Electricidad'!L15:L16)=8,C31+C21+C10,"-")</f>
        <v>-</v>
      </c>
      <c r="D41" s="83" t="str">
        <f>IF($C$41="-","-",D10+D31+D21+D1)</f>
        <v>-</v>
      </c>
      <c r="E41" s="84" t="str">
        <f>IF($C$41="-","-",E31+E21+E10)</f>
        <v>-</v>
      </c>
      <c r="F41" s="84" t="str">
        <f>IF($C$41="-","-",F31+F21+F10)</f>
        <v>-</v>
      </c>
      <c r="G41" s="84" t="str">
        <f>IF($C$41="-","-",G31+G21+G10)</f>
        <v>-</v>
      </c>
      <c r="H41" s="87" t="str">
        <f>IF($C$41="-","-",SUM(C41:G41))</f>
        <v>-</v>
      </c>
    </row>
    <row r="42" spans="2:11">
      <c r="B42" s="106" t="s">
        <v>49</v>
      </c>
      <c r="C42" s="83" t="str">
        <f>IF(COUNTA('LOTE 1. Electricidad'!$C$17:$H$17,'LOTE 1. Electricidad'!$L$15:$L$16)=8,C32+C22+C11,"-")</f>
        <v>-</v>
      </c>
      <c r="D42" s="83" t="str">
        <f>IF($C$42="-","-",D32+D22+D11)</f>
        <v>-</v>
      </c>
      <c r="E42" s="84" t="str">
        <f>IF($C$42="-","-",E32+E22+E11)</f>
        <v>-</v>
      </c>
      <c r="F42" s="84" t="str">
        <f>IF($C$42="-","-",F32+F22+F11)</f>
        <v>-</v>
      </c>
      <c r="G42" s="84" t="str">
        <f>IF($C$42="-","-",G32+G22+G11)</f>
        <v>-</v>
      </c>
      <c r="H42" s="87" t="str">
        <f>IF($C$42="-","-",SUM(C42:G42))</f>
        <v>-</v>
      </c>
    </row>
    <row r="43" spans="2:11" ht="15" thickBot="1">
      <c r="B43" s="107" t="s">
        <v>50</v>
      </c>
      <c r="C43" s="88" t="str">
        <f>+C12</f>
        <v>-</v>
      </c>
      <c r="D43" s="96" t="str">
        <f>+D12</f>
        <v>-</v>
      </c>
      <c r="E43" s="89" t="str">
        <f>+E12</f>
        <v>-</v>
      </c>
      <c r="F43" s="89" t="str">
        <f>+F12</f>
        <v>-</v>
      </c>
      <c r="G43" s="90" t="str">
        <f>+G12</f>
        <v>-</v>
      </c>
      <c r="H43" s="91" t="str">
        <f>IF($C$43="-","-",SUM(C43:G43))</f>
        <v>-</v>
      </c>
    </row>
    <row r="44" spans="2:11" ht="8.25" customHeight="1" thickBot="1">
      <c r="D44" s="92"/>
      <c r="G44" s="93"/>
      <c r="H44" s="92"/>
    </row>
    <row r="45" spans="2:11" ht="15" thickBot="1">
      <c r="B45" s="94" t="s">
        <v>75</v>
      </c>
      <c r="F45" s="112"/>
      <c r="G45" s="113" t="s">
        <v>62</v>
      </c>
      <c r="H45" s="118" t="str">
        <f>IF(COUNT(H40:H43)=4,SUM(H40:H43),"-")</f>
        <v>-</v>
      </c>
      <c r="K45" s="145"/>
    </row>
    <row r="46" spans="2:11" customFormat="1" ht="9.75" customHeight="1">
      <c r="E46" s="1"/>
      <c r="I46" s="1"/>
    </row>
    <row r="47" spans="2:11" ht="15">
      <c r="F47" s="9"/>
      <c r="G47" s="97"/>
      <c r="H47" s="98"/>
      <c r="J47" s="145"/>
      <c r="K47" s="146"/>
    </row>
    <row r="49" spans="2:9" s="77" customFormat="1" ht="15.6">
      <c r="B49" s="101" t="s">
        <v>52</v>
      </c>
      <c r="C49" s="101"/>
      <c r="D49" s="102"/>
      <c r="E49" s="102"/>
      <c r="F49" s="102"/>
      <c r="G49" s="151" t="str">
        <f>G61</f>
        <v>-</v>
      </c>
      <c r="H49" s="152"/>
      <c r="I49" s="1"/>
    </row>
    <row r="50" spans="2:9" ht="7.5" customHeight="1" thickBot="1"/>
    <row r="51" spans="2:9" ht="18.75" customHeight="1" thickBot="1">
      <c r="B51" s="104" t="s">
        <v>0</v>
      </c>
      <c r="C51" s="114" t="s">
        <v>55</v>
      </c>
      <c r="D51" s="115" t="s">
        <v>57</v>
      </c>
      <c r="E51" s="115" t="s">
        <v>31</v>
      </c>
      <c r="F51" s="116" t="s">
        <v>35</v>
      </c>
      <c r="G51" s="104" t="s">
        <v>56</v>
      </c>
    </row>
    <row r="52" spans="2:9">
      <c r="B52" s="105" t="s">
        <v>41</v>
      </c>
      <c r="C52" s="83" t="str">
        <f>IF(COUNTA('LOTE 2 Gas'!C14,'LOTE 2 Gas'!C25,'LOTE 2 Gas'!C48)=3,'LOTE 2 Gas'!C36/1000*'Datos CONSUMOS'!F41,"-")</f>
        <v>-</v>
      </c>
      <c r="D52" s="84" t="str">
        <f>IF($C$52="-","-",'LOTE 2 Gas'!C48*'Datos CONSUMOS'!C41*12)</f>
        <v>-</v>
      </c>
      <c r="E52" s="84" t="str">
        <f>IF($C$52="-","-",0.234/1000*'Datos CONSUMOS'!F41)</f>
        <v>-</v>
      </c>
      <c r="F52" s="84" t="str">
        <f>IF($C$52="-","-",2*12*'Datos CONSUMOS'!C41)</f>
        <v>-</v>
      </c>
      <c r="G52" s="86" t="str">
        <f>IF($C$52="-","-",SUM(C52:F52))</f>
        <v>-</v>
      </c>
    </row>
    <row r="53" spans="2:9">
      <c r="B53" s="106" t="s">
        <v>42</v>
      </c>
      <c r="C53" s="99" t="str">
        <f>IF(COUNTA('LOTE 2 Gas'!C15,'LOTE 2 Gas'!C26,'LOTE 2 Gas'!C49)=3,'LOTE 2 Gas'!C37/1000*'Datos CONSUMOS'!F42,"-")</f>
        <v>-</v>
      </c>
      <c r="D53" s="100" t="str">
        <f>IF($C$53="-","-",'LOTE 2 Gas'!C49*'Datos CONSUMOS'!C42*12)</f>
        <v>-</v>
      </c>
      <c r="E53" s="100" t="str">
        <f>IF($C$53="-","-",0.234/1000*'Datos CONSUMOS'!F42)</f>
        <v>-</v>
      </c>
      <c r="F53" s="100" t="str">
        <f>IF($C$53="-","-",2*12*'Datos CONSUMOS'!C42)</f>
        <v>-</v>
      </c>
      <c r="G53" s="87" t="str">
        <f>IF($C$53="-","-",SUM(C53:F53))</f>
        <v>-</v>
      </c>
    </row>
    <row r="54" spans="2:9">
      <c r="B54" s="106" t="s">
        <v>43</v>
      </c>
      <c r="C54" s="99" t="str">
        <f>IF(COUNTA('LOTE 2 Gas'!C16,'LOTE 2 Gas'!C27,'LOTE 2 Gas'!C50)=3,'LOTE 2 Gas'!C38/1000*'Datos CONSUMOS'!F43,"-")</f>
        <v>-</v>
      </c>
      <c r="D54" s="100" t="str">
        <f>IF($C$54="-","-",'LOTE 2 Gas'!C50*'Datos CONSUMOS'!C43*12)</f>
        <v>-</v>
      </c>
      <c r="E54" s="100" t="str">
        <f>IF($C$54="-","-",0.234/1000*'Datos CONSUMOS'!F43)</f>
        <v>-</v>
      </c>
      <c r="F54" s="100" t="str">
        <f>IF($C$54="-","-",2*12*'Datos CONSUMOS'!C43)</f>
        <v>-</v>
      </c>
      <c r="G54" s="87" t="str">
        <f>IF($C$54="-","-",SUM(C54:F54))</f>
        <v>-</v>
      </c>
    </row>
    <row r="55" spans="2:9">
      <c r="B55" s="106" t="s">
        <v>44</v>
      </c>
      <c r="C55" s="99" t="str">
        <f>IF(COUNTA('LOTE 2 Gas'!C17,'LOTE 2 Gas'!C28,'LOTE 2 Gas'!C51)=3,'LOTE 2 Gas'!C39/1000*'Datos CONSUMOS'!F44,"-")</f>
        <v>-</v>
      </c>
      <c r="D55" s="100" t="str">
        <f>IF($C$55="-","-",'LOTE 2 Gas'!C51*'Datos CONSUMOS'!C44*12)</f>
        <v>-</v>
      </c>
      <c r="E55" s="100" t="str">
        <f>IF($C$55="-","-",0.234/1000*'Datos CONSUMOS'!F44)</f>
        <v>-</v>
      </c>
      <c r="F55" s="100" t="str">
        <f>IF($C$55="-","-",2*12*'Datos CONSUMOS'!C44)</f>
        <v>-</v>
      </c>
      <c r="G55" s="87" t="str">
        <f>IF($C$55="-","-",SUM(C55:F55))</f>
        <v>-</v>
      </c>
    </row>
    <row r="56" spans="2:9">
      <c r="B56" s="106" t="s">
        <v>45</v>
      </c>
      <c r="C56" s="99" t="str">
        <f>IF(COUNTA('LOTE 2 Gas'!C18,'LOTE 2 Gas'!C29,'LOTE 2 Gas'!C52)=3,'LOTE 2 Gas'!C40/1000*'Datos CONSUMOS'!F45,"-")</f>
        <v>-</v>
      </c>
      <c r="D56" s="100" t="str">
        <f>IF($C$56="-","-",'LOTE 2 Gas'!C52*'Datos CONSUMOS'!C45*12)</f>
        <v>-</v>
      </c>
      <c r="E56" s="100" t="str">
        <f>IF($C$56="-","-",0.234/1000*'Datos CONSUMOS'!F45)</f>
        <v>-</v>
      </c>
      <c r="F56" s="100" t="str">
        <f>IF($C$56="-","-",2*12*'Datos CONSUMOS'!C45)</f>
        <v>-</v>
      </c>
      <c r="G56" s="87" t="str">
        <f>IF($C$56="-","-",SUM(C56:F56))</f>
        <v>-</v>
      </c>
    </row>
    <row r="57" spans="2:9">
      <c r="B57" s="106" t="s">
        <v>58</v>
      </c>
      <c r="C57" s="99" t="str">
        <f>IF(COUNTA('LOTE 2 Gas'!C19,'LOTE 2 Gas'!C30,'LOTE 2 Gas'!C53)=3,'LOTE 2 Gas'!C41/1000*'Datos CONSUMOS'!F46,"-")</f>
        <v>-</v>
      </c>
      <c r="D57" s="100" t="str">
        <f>IF($C$57="-","-",'LOTE 2 Gas'!C53*'Datos CONSUMOS'!C46*12)</f>
        <v>-</v>
      </c>
      <c r="E57" s="100" t="str">
        <f>IF($C$57="-","-",0.234/1000*'Datos CONSUMOS'!F46)</f>
        <v>-</v>
      </c>
      <c r="F57" s="100" t="str">
        <f>IF($C$57="-","-",2*12*'Datos CONSUMOS'!C46)</f>
        <v>-</v>
      </c>
      <c r="G57" s="87" t="str">
        <f>IF($C$57="-","-",SUM(C57:F57))</f>
        <v>-</v>
      </c>
    </row>
    <row r="58" spans="2:9">
      <c r="B58" s="106" t="s">
        <v>46</v>
      </c>
      <c r="C58" s="99" t="str">
        <f>IF(COUNTA('LOTE 2 Gas'!C20,'LOTE 2 Gas'!C31,'LOTE 2 Gas'!C54)=3,'LOTE 2 Gas'!C42/1000*'Datos CONSUMOS'!F47,"-")</f>
        <v>-</v>
      </c>
      <c r="D58" s="100" t="str">
        <f>IF($C$58="-","-",'LOTE 2 Gas'!C54*'Datos CONSUMOS'!C47*12)</f>
        <v>-</v>
      </c>
      <c r="E58" s="100" t="str">
        <f>IF($C$58="-","-",0.234/1000*'Datos CONSUMOS'!F47)</f>
        <v>-</v>
      </c>
      <c r="F58" s="100" t="str">
        <f>IF($C$58="-","-",2*12*'Datos CONSUMOS'!C47)</f>
        <v>-</v>
      </c>
      <c r="G58" s="87" t="str">
        <f>IF($C$58="-","-",SUM(C58:F58))</f>
        <v>-</v>
      </c>
    </row>
    <row r="59" spans="2:9" ht="15" thickBot="1">
      <c r="B59" s="107" t="s">
        <v>47</v>
      </c>
      <c r="C59" s="96" t="str">
        <f>IF(COUNTA('LOTE 2 Gas'!C21,'LOTE 2 Gas'!C32,'LOTE 2 Gas'!C55)=3,'LOTE 2 Gas'!C43/1000*'Datos CONSUMOS'!F48,"-")</f>
        <v>-</v>
      </c>
      <c r="D59" s="89" t="str">
        <f>IF($C$59="-","-",'LOTE 2 Gas'!C55*'Datos CONSUMOS'!C48*12)</f>
        <v>-</v>
      </c>
      <c r="E59" s="89" t="str">
        <f>IF($C$59="-","-",0.234/1000*'Datos CONSUMOS'!F48)</f>
        <v>-</v>
      </c>
      <c r="F59" s="89" t="str">
        <f>IF($C$59="-","-",2*12*'Datos CONSUMOS'!C48)</f>
        <v>-</v>
      </c>
      <c r="G59" s="91" t="str">
        <f>IF($C$59="-","-",SUM(C59:F59))</f>
        <v>-</v>
      </c>
    </row>
    <row r="60" spans="2:9" ht="8.25" customHeight="1" thickBot="1">
      <c r="D60" s="92"/>
      <c r="F60" s="93"/>
      <c r="G60" s="92"/>
    </row>
    <row r="61" spans="2:9" ht="15.6" thickBot="1">
      <c r="E61" s="104"/>
      <c r="F61" s="117" t="s">
        <v>53</v>
      </c>
      <c r="G61" s="119" t="str">
        <f>IF(COUNT(G52:G59)=8,SUM(G52:G59),"-")</f>
        <v>-</v>
      </c>
    </row>
  </sheetData>
  <sheetProtection algorithmName="SHA-512" hashValue="UHxUKX1wL4wmpSmYCS4wJszr4x7UvXd9BaNkepS4366z3E0Gml+xK4So0dF0zEmUPO+xUa2BwK2sFotf1ZvF0g==" saltValue="TBPsgbdMk4cLJ7VksDug2w==" spinCount="100000" sheet="1" objects="1" scenarios="1"/>
  <mergeCells count="4">
    <mergeCell ref="B1:G1"/>
    <mergeCell ref="B3:C3"/>
    <mergeCell ref="G5:H5"/>
    <mergeCell ref="G49:H49"/>
  </mergeCells>
  <phoneticPr fontId="12" type="noConversion"/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66"/>
    <pageSetUpPr fitToPage="1"/>
  </sheetPr>
  <dimension ref="B1:Q56"/>
  <sheetViews>
    <sheetView showGridLines="0" workbookViewId="0"/>
  </sheetViews>
  <sheetFormatPr baseColWidth="10" defaultRowHeight="14.4"/>
  <cols>
    <col min="1" max="1" width="3.6640625" style="162" customWidth="1"/>
    <col min="2" max="8" width="11.5546875" style="162"/>
    <col min="9" max="9" width="2.6640625" style="162" customWidth="1"/>
    <col min="10" max="16384" width="11.5546875" style="162"/>
  </cols>
  <sheetData>
    <row r="1" spans="2:17" ht="25.8">
      <c r="B1" s="161" t="s">
        <v>87</v>
      </c>
    </row>
    <row r="3" spans="2:17" ht="66" customHeight="1">
      <c r="B3" s="163" t="s">
        <v>90</v>
      </c>
      <c r="C3" s="163"/>
      <c r="D3" s="163"/>
      <c r="E3" s="163"/>
      <c r="F3" s="163"/>
      <c r="G3" s="163"/>
      <c r="H3" s="163"/>
    </row>
    <row r="5" spans="2:17">
      <c r="B5" s="164" t="s">
        <v>38</v>
      </c>
      <c r="C5" s="164"/>
      <c r="D5" s="164"/>
      <c r="E5" s="164"/>
      <c r="F5" s="164"/>
      <c r="G5" s="164"/>
      <c r="H5" s="164"/>
    </row>
    <row r="7" spans="2:17" s="168" customFormat="1">
      <c r="B7" s="165" t="s">
        <v>15</v>
      </c>
      <c r="C7" s="166">
        <v>70.23</v>
      </c>
      <c r="D7" s="167" t="s">
        <v>16</v>
      </c>
      <c r="L7" s="162"/>
      <c r="M7" s="162"/>
      <c r="N7" s="162"/>
      <c r="O7" s="162"/>
      <c r="P7" s="162"/>
      <c r="Q7" s="162"/>
    </row>
    <row r="9" spans="2:17">
      <c r="C9" s="169"/>
    </row>
    <row r="10" spans="2:17">
      <c r="C10" s="169"/>
    </row>
    <row r="11" spans="2:17">
      <c r="C11" s="169"/>
    </row>
    <row r="12" spans="2:17" ht="15" thickBot="1"/>
    <row r="13" spans="2:17" ht="15" thickBot="1">
      <c r="B13" s="170"/>
      <c r="C13" s="171" t="s">
        <v>19</v>
      </c>
      <c r="D13" s="172"/>
      <c r="E13" s="172"/>
      <c r="F13" s="172"/>
      <c r="G13" s="172"/>
      <c r="H13" s="173"/>
    </row>
    <row r="14" spans="2:17" ht="15" thickBot="1">
      <c r="B14" s="174" t="s">
        <v>0</v>
      </c>
      <c r="C14" s="175" t="s">
        <v>8</v>
      </c>
      <c r="D14" s="176" t="s">
        <v>9</v>
      </c>
      <c r="E14" s="176" t="s">
        <v>10</v>
      </c>
      <c r="F14" s="176" t="s">
        <v>11</v>
      </c>
      <c r="G14" s="176" t="s">
        <v>12</v>
      </c>
      <c r="H14" s="177" t="s">
        <v>13</v>
      </c>
    </row>
    <row r="15" spans="2:17">
      <c r="B15" s="178" t="s">
        <v>36</v>
      </c>
      <c r="C15" s="130"/>
      <c r="D15" s="131"/>
      <c r="E15" s="132"/>
      <c r="F15" s="159"/>
      <c r="G15" s="159"/>
      <c r="H15" s="160"/>
      <c r="K15" s="179" t="s">
        <v>39</v>
      </c>
      <c r="L15" s="76"/>
      <c r="M15" s="180" t="s">
        <v>17</v>
      </c>
    </row>
    <row r="16" spans="2:17">
      <c r="B16" s="181" t="s">
        <v>37</v>
      </c>
      <c r="C16" s="133"/>
      <c r="D16" s="134"/>
      <c r="E16" s="135"/>
      <c r="F16" s="135"/>
      <c r="G16" s="135"/>
      <c r="H16" s="136"/>
      <c r="K16" s="179" t="s">
        <v>18</v>
      </c>
      <c r="L16" s="76"/>
      <c r="M16" s="180" t="s">
        <v>17</v>
      </c>
    </row>
    <row r="17" spans="2:14">
      <c r="B17" s="181" t="s">
        <v>49</v>
      </c>
      <c r="C17" s="137"/>
      <c r="D17" s="138"/>
      <c r="E17" s="139"/>
      <c r="F17" s="139"/>
      <c r="G17" s="139"/>
      <c r="H17" s="140"/>
    </row>
    <row r="18" spans="2:14" ht="15" thickBot="1">
      <c r="B18" s="182" t="s">
        <v>50</v>
      </c>
      <c r="C18" s="141"/>
      <c r="D18" s="142"/>
      <c r="E18" s="143"/>
      <c r="F18" s="143"/>
      <c r="G18" s="143"/>
      <c r="H18" s="144"/>
    </row>
    <row r="20" spans="2:14" ht="15" thickBot="1"/>
    <row r="21" spans="2:14" ht="15" thickBot="1">
      <c r="B21" s="170"/>
      <c r="C21" s="183" t="s">
        <v>33</v>
      </c>
      <c r="D21" s="184"/>
      <c r="E21" s="184"/>
      <c r="F21" s="184"/>
      <c r="G21" s="184"/>
      <c r="H21" s="185"/>
    </row>
    <row r="22" spans="2:14" ht="15" thickBot="1">
      <c r="B22" s="186" t="s">
        <v>0</v>
      </c>
      <c r="C22" s="187" t="s">
        <v>8</v>
      </c>
      <c r="D22" s="188" t="s">
        <v>9</v>
      </c>
      <c r="E22" s="188" t="s">
        <v>10</v>
      </c>
      <c r="F22" s="188" t="s">
        <v>11</v>
      </c>
      <c r="G22" s="188" t="s">
        <v>12</v>
      </c>
      <c r="H22" s="189" t="s">
        <v>13</v>
      </c>
    </row>
    <row r="23" spans="2:14">
      <c r="B23" s="190" t="s">
        <v>36</v>
      </c>
      <c r="C23" s="191">
        <f>+(($C$7*C15+C34+$L$33+$L$34+$L$35+$L$36)*(1+C41)+$L$16+$L$15+$L$37)*1.015+C47</f>
        <v>122.5956759268</v>
      </c>
      <c r="D23" s="191">
        <f t="shared" ref="D23:E23" si="0">+(($C$7*D15+D34+$L$33+$L$34+$L$35+$L$36)*(1+D41)+$L$16+$L$15+$L$37)*1.015+D47</f>
        <v>53.713584899800004</v>
      </c>
      <c r="E23" s="191">
        <f t="shared" si="0"/>
        <v>28.118193458500002</v>
      </c>
      <c r="F23" s="191"/>
      <c r="G23" s="191"/>
      <c r="H23" s="191"/>
    </row>
    <row r="24" spans="2:14">
      <c r="B24" s="192" t="s">
        <v>37</v>
      </c>
      <c r="C24" s="191">
        <f t="shared" ref="C24:H26" si="1">+(($C$7*C16+C35+$L$33+$L$34+$L$35+$L$36)*(1+C42)+$L$16+$L$15+$L$37)*1.015+C48</f>
        <v>88.843253268599994</v>
      </c>
      <c r="D24" s="191">
        <f t="shared" si="1"/>
        <v>64.137378975199994</v>
      </c>
      <c r="E24" s="191">
        <f t="shared" si="1"/>
        <v>43.736014796199996</v>
      </c>
      <c r="F24" s="191">
        <f t="shared" si="1"/>
        <v>34.079710345000002</v>
      </c>
      <c r="G24" s="191">
        <f t="shared" si="1"/>
        <v>29.009481775300003</v>
      </c>
      <c r="H24" s="191">
        <f t="shared" si="1"/>
        <v>27.7241934585</v>
      </c>
    </row>
    <row r="25" spans="2:14">
      <c r="B25" s="192" t="s">
        <v>49</v>
      </c>
      <c r="C25" s="191">
        <f t="shared" si="1"/>
        <v>69.195548394499994</v>
      </c>
      <c r="D25" s="191">
        <f t="shared" si="1"/>
        <v>49.497279821600003</v>
      </c>
      <c r="E25" s="191">
        <f t="shared" si="1"/>
        <v>35.4257462283</v>
      </c>
      <c r="F25" s="191">
        <f t="shared" si="1"/>
        <v>29.100801632700001</v>
      </c>
      <c r="G25" s="191">
        <f t="shared" si="1"/>
        <v>24.818286209099998</v>
      </c>
      <c r="H25" s="191">
        <f t="shared" si="1"/>
        <v>24.340213264899997</v>
      </c>
    </row>
    <row r="26" spans="2:14" ht="15" thickBot="1">
      <c r="B26" s="193" t="s">
        <v>50</v>
      </c>
      <c r="C26" s="191">
        <f t="shared" si="1"/>
        <v>46.535693220300004</v>
      </c>
      <c r="D26" s="191">
        <f t="shared" si="1"/>
        <v>36.474271692100004</v>
      </c>
      <c r="E26" s="191">
        <f t="shared" si="1"/>
        <v>28.417819073799997</v>
      </c>
      <c r="F26" s="191">
        <f t="shared" si="1"/>
        <v>25.245033638499997</v>
      </c>
      <c r="G26" s="191">
        <f t="shared" si="1"/>
        <v>23.265649641400003</v>
      </c>
      <c r="H26" s="191">
        <f t="shared" si="1"/>
        <v>23.059788937700002</v>
      </c>
    </row>
    <row r="27" spans="2:14">
      <c r="B27" s="194" t="s">
        <v>34</v>
      </c>
    </row>
    <row r="29" spans="2:14" ht="15" thickBot="1"/>
    <row r="30" spans="2:14" ht="15" thickBot="1">
      <c r="B30" s="195" t="s">
        <v>26</v>
      </c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7"/>
    </row>
    <row r="31" spans="2:14" ht="13.5" customHeight="1" thickBot="1"/>
    <row r="32" spans="2:14" ht="15" thickBot="1">
      <c r="C32" s="198" t="s">
        <v>20</v>
      </c>
      <c r="D32" s="199"/>
      <c r="E32" s="199"/>
      <c r="F32" s="199"/>
      <c r="G32" s="199"/>
      <c r="H32" s="200"/>
    </row>
    <row r="33" spans="2:14" ht="15" thickBot="1">
      <c r="B33" s="201" t="s">
        <v>0</v>
      </c>
      <c r="C33" s="202" t="s">
        <v>8</v>
      </c>
      <c r="D33" s="203" t="s">
        <v>9</v>
      </c>
      <c r="E33" s="203" t="s">
        <v>10</v>
      </c>
      <c r="F33" s="203" t="s">
        <v>11</v>
      </c>
      <c r="G33" s="203" t="s">
        <v>12</v>
      </c>
      <c r="H33" s="204" t="s">
        <v>13</v>
      </c>
      <c r="K33" s="205" t="s">
        <v>22</v>
      </c>
      <c r="L33" s="206">
        <v>18</v>
      </c>
      <c r="M33" s="207" t="s">
        <v>17</v>
      </c>
    </row>
    <row r="34" spans="2:14">
      <c r="B34" s="208" t="s">
        <v>36</v>
      </c>
      <c r="C34" s="209">
        <v>0.8</v>
      </c>
      <c r="D34" s="210">
        <v>0.13300000000000001</v>
      </c>
      <c r="E34" s="210">
        <v>0</v>
      </c>
      <c r="F34" s="210">
        <v>0</v>
      </c>
      <c r="G34" s="210">
        <v>0</v>
      </c>
      <c r="H34" s="211">
        <v>0</v>
      </c>
      <c r="K34" s="212" t="s">
        <v>23</v>
      </c>
      <c r="L34" s="213">
        <v>4.07E-2</v>
      </c>
      <c r="M34" s="214" t="s">
        <v>17</v>
      </c>
    </row>
    <row r="35" spans="2:14">
      <c r="B35" s="215" t="s">
        <v>37</v>
      </c>
      <c r="C35" s="216">
        <v>1.0820000000000001</v>
      </c>
      <c r="D35" s="217">
        <v>0.5</v>
      </c>
      <c r="E35" s="217">
        <v>0.33300000000000002</v>
      </c>
      <c r="F35" s="217">
        <v>0.25</v>
      </c>
      <c r="G35" s="217">
        <v>0.25</v>
      </c>
      <c r="H35" s="218">
        <v>0</v>
      </c>
      <c r="K35" s="212" t="s">
        <v>24</v>
      </c>
      <c r="L35" s="219">
        <v>0.20332</v>
      </c>
      <c r="M35" s="214" t="s">
        <v>17</v>
      </c>
    </row>
    <row r="36" spans="2:14">
      <c r="B36" s="215" t="s">
        <v>49</v>
      </c>
      <c r="C36" s="216">
        <v>0.46500000000000002</v>
      </c>
      <c r="D36" s="217">
        <v>0.21299999999999999</v>
      </c>
      <c r="E36" s="217">
        <v>0.14200000000000002</v>
      </c>
      <c r="F36" s="217">
        <v>0.107</v>
      </c>
      <c r="G36" s="217">
        <v>0.107</v>
      </c>
      <c r="H36" s="218">
        <v>0</v>
      </c>
      <c r="K36" s="212" t="s">
        <v>25</v>
      </c>
      <c r="L36" s="213">
        <v>0</v>
      </c>
      <c r="M36" s="214" t="s">
        <v>17</v>
      </c>
    </row>
    <row r="37" spans="2:14" ht="15" thickBot="1">
      <c r="B37" s="220" t="s">
        <v>50</v>
      </c>
      <c r="C37" s="221">
        <v>0.46500000000000002</v>
      </c>
      <c r="D37" s="222">
        <v>0.21299999999999999</v>
      </c>
      <c r="E37" s="222">
        <v>0.14200000000000002</v>
      </c>
      <c r="F37" s="222">
        <v>0.107</v>
      </c>
      <c r="G37" s="222">
        <v>0.107</v>
      </c>
      <c r="H37" s="223">
        <v>0</v>
      </c>
      <c r="K37" s="224" t="s">
        <v>61</v>
      </c>
      <c r="L37" s="225">
        <v>2.6577000000000002</v>
      </c>
      <c r="M37" s="226" t="s">
        <v>17</v>
      </c>
      <c r="N37" s="227"/>
    </row>
    <row r="38" spans="2:14" ht="15" thickBot="1"/>
    <row r="39" spans="2:14" ht="15" thickBot="1">
      <c r="C39" s="198" t="s">
        <v>21</v>
      </c>
      <c r="D39" s="199"/>
      <c r="E39" s="199"/>
      <c r="F39" s="199"/>
      <c r="G39" s="199"/>
      <c r="H39" s="200"/>
    </row>
    <row r="40" spans="2:14" ht="15" thickBot="1">
      <c r="B40" s="201" t="s">
        <v>0</v>
      </c>
      <c r="C40" s="202" t="s">
        <v>8</v>
      </c>
      <c r="D40" s="203" t="s">
        <v>9</v>
      </c>
      <c r="E40" s="203" t="s">
        <v>10</v>
      </c>
      <c r="F40" s="203" t="s">
        <v>11</v>
      </c>
      <c r="G40" s="203" t="s">
        <v>12</v>
      </c>
      <c r="H40" s="204" t="s">
        <v>13</v>
      </c>
    </row>
    <row r="41" spans="2:14">
      <c r="B41" s="208" t="s">
        <v>36</v>
      </c>
      <c r="C41" s="18">
        <v>0.156</v>
      </c>
      <c r="D41" s="19">
        <v>0.16600000000000001</v>
      </c>
      <c r="E41" s="19">
        <v>0.19500000000000001</v>
      </c>
      <c r="F41" s="19">
        <v>0</v>
      </c>
      <c r="G41" s="19">
        <v>0</v>
      </c>
      <c r="H41" s="20">
        <v>0</v>
      </c>
    </row>
    <row r="42" spans="2:14">
      <c r="B42" s="215" t="s">
        <v>37</v>
      </c>
      <c r="C42" s="21">
        <v>0.16200000000000001</v>
      </c>
      <c r="D42" s="22">
        <v>0.184</v>
      </c>
      <c r="E42" s="22">
        <v>0.154</v>
      </c>
      <c r="F42" s="22">
        <v>0.15</v>
      </c>
      <c r="G42" s="22">
        <v>0.151</v>
      </c>
      <c r="H42" s="23">
        <v>0.19500000000000001</v>
      </c>
    </row>
    <row r="43" spans="2:14">
      <c r="B43" s="215" t="s">
        <v>49</v>
      </c>
      <c r="C43" s="21">
        <v>6.5000000000000002E-2</v>
      </c>
      <c r="D43" s="22">
        <v>7.1999999999999995E-2</v>
      </c>
      <c r="E43" s="22">
        <v>6.0999999999999999E-2</v>
      </c>
      <c r="F43" s="22">
        <v>5.8999999999999997E-2</v>
      </c>
      <c r="G43" s="22">
        <v>4.7E-2</v>
      </c>
      <c r="H43" s="23">
        <v>8.3000000000000004E-2</v>
      </c>
    </row>
    <row r="44" spans="2:14" ht="15" thickBot="1">
      <c r="B44" s="220" t="s">
        <v>50</v>
      </c>
      <c r="C44" s="24">
        <v>5.0999999999999997E-2</v>
      </c>
      <c r="D44" s="25">
        <v>5.7000000000000002E-2</v>
      </c>
      <c r="E44" s="25">
        <v>4.5999999999999999E-2</v>
      </c>
      <c r="F44" s="25">
        <v>4.4999999999999998E-2</v>
      </c>
      <c r="G44" s="25">
        <v>3.7999999999999999E-2</v>
      </c>
      <c r="H44" s="26">
        <v>5.8999999999999997E-2</v>
      </c>
    </row>
    <row r="45" spans="2:14" ht="15" thickBot="1"/>
    <row r="46" spans="2:14" ht="15" thickBot="1">
      <c r="C46" s="198" t="s">
        <v>40</v>
      </c>
      <c r="D46" s="199"/>
      <c r="E46" s="199"/>
      <c r="F46" s="199"/>
      <c r="G46" s="199"/>
      <c r="H46" s="200"/>
    </row>
    <row r="47" spans="2:14">
      <c r="B47" s="208" t="s">
        <v>36</v>
      </c>
      <c r="C47" s="228">
        <v>97.552999999999997</v>
      </c>
      <c r="D47" s="229">
        <v>29.267000000000003</v>
      </c>
      <c r="E47" s="229">
        <v>3.2919999999999998</v>
      </c>
      <c r="F47" s="229">
        <v>0</v>
      </c>
      <c r="G47" s="229">
        <v>0</v>
      </c>
      <c r="H47" s="230">
        <v>0</v>
      </c>
    </row>
    <row r="48" spans="2:14">
      <c r="B48" s="215" t="s">
        <v>37</v>
      </c>
      <c r="C48" s="231">
        <v>63.35199999999999</v>
      </c>
      <c r="D48" s="232">
        <v>38.913999999999994</v>
      </c>
      <c r="E48" s="232">
        <v>19.279</v>
      </c>
      <c r="F48" s="232">
        <v>9.7949999999999999</v>
      </c>
      <c r="G48" s="232">
        <v>4.7060000000000004</v>
      </c>
      <c r="H48" s="233">
        <v>2.8980000000000006</v>
      </c>
    </row>
    <row r="49" spans="2:8">
      <c r="B49" s="215" t="s">
        <v>49</v>
      </c>
      <c r="C49" s="231">
        <v>46.273999999999994</v>
      </c>
      <c r="D49" s="232">
        <v>26.716999999999999</v>
      </c>
      <c r="E49" s="232">
        <v>12.928000000000001</v>
      </c>
      <c r="F49" s="232">
        <v>6.6779999999999999</v>
      </c>
      <c r="G49" s="232">
        <v>2.6189999999999998</v>
      </c>
      <c r="H49" s="233">
        <v>1.5880000000000001</v>
      </c>
    </row>
    <row r="50" spans="2:8" ht="15" thickBot="1">
      <c r="B50" s="220" t="s">
        <v>50</v>
      </c>
      <c r="C50" s="234">
        <v>23.88</v>
      </c>
      <c r="D50" s="235">
        <v>13.975000000000001</v>
      </c>
      <c r="E50" s="235">
        <v>6.2</v>
      </c>
      <c r="F50" s="235">
        <v>3.0829999999999997</v>
      </c>
      <c r="G50" s="235">
        <v>1.234</v>
      </c>
      <c r="H50" s="236">
        <v>0.75200000000000011</v>
      </c>
    </row>
    <row r="51" spans="2:8" ht="15" thickBot="1"/>
    <row r="52" spans="2:8" ht="15" thickBot="1">
      <c r="C52" s="198" t="s">
        <v>54</v>
      </c>
      <c r="D52" s="199"/>
      <c r="E52" s="199"/>
      <c r="F52" s="199"/>
      <c r="G52" s="199"/>
      <c r="H52" s="200"/>
    </row>
    <row r="53" spans="2:8">
      <c r="B53" s="208" t="s">
        <v>36</v>
      </c>
      <c r="C53" s="228">
        <v>27.704412999999999</v>
      </c>
      <c r="D53" s="229">
        <v>0.72542299999999993</v>
      </c>
      <c r="E53" s="229"/>
      <c r="F53" s="229"/>
      <c r="G53" s="229"/>
      <c r="H53" s="230"/>
    </row>
    <row r="54" spans="2:8">
      <c r="B54" s="215" t="s">
        <v>37</v>
      </c>
      <c r="C54" s="231">
        <v>20.376927000000002</v>
      </c>
      <c r="D54" s="232">
        <v>10.617621</v>
      </c>
      <c r="E54" s="232">
        <v>4.4815339999999999</v>
      </c>
      <c r="F54" s="232">
        <v>3.8863329999999996</v>
      </c>
      <c r="G54" s="232">
        <v>2.5138509999999998</v>
      </c>
      <c r="H54" s="233">
        <v>1.4422869999999999</v>
      </c>
    </row>
    <row r="55" spans="2:8">
      <c r="B55" s="215" t="s">
        <v>49</v>
      </c>
      <c r="C55" s="231">
        <v>29.595367999999997</v>
      </c>
      <c r="D55" s="232">
        <v>15.514709</v>
      </c>
      <c r="E55" s="232">
        <v>6.8018809999999998</v>
      </c>
      <c r="F55" s="232">
        <v>5.3938290000000002</v>
      </c>
      <c r="G55" s="232">
        <v>2.1251129999999998</v>
      </c>
      <c r="H55" s="233">
        <v>1.004181</v>
      </c>
    </row>
    <row r="56" spans="2:8" ht="15" thickBot="1">
      <c r="B56" s="220" t="s">
        <v>50</v>
      </c>
      <c r="C56" s="234">
        <v>20.103588000000002</v>
      </c>
      <c r="D56" s="235">
        <v>11.115667999999999</v>
      </c>
      <c r="E56" s="235">
        <v>3.7091129999999999</v>
      </c>
      <c r="F56" s="235">
        <v>2.7281520000000001</v>
      </c>
      <c r="G56" s="235">
        <v>1.265617</v>
      </c>
      <c r="H56" s="236">
        <v>0.60538100000000006</v>
      </c>
    </row>
  </sheetData>
  <sheetProtection algorithmName="SHA-512" hashValue="ZYumwy334G3tUcqEXrA+pojRR0wNOcFTJnBtXGasjuX2GMSpjnshnOyRFD4KowFxFQHMLOW//kO5R+A500xeUw==" saltValue="3R113fF29IOqzuZKGI+C9g==" spinCount="100000" sheet="1" objects="1" scenarios="1"/>
  <mergeCells count="9">
    <mergeCell ref="C46:H46"/>
    <mergeCell ref="C52:H52"/>
    <mergeCell ref="C32:H32"/>
    <mergeCell ref="C39:H39"/>
    <mergeCell ref="B3:H3"/>
    <mergeCell ref="C13:H13"/>
    <mergeCell ref="C21:H21"/>
    <mergeCell ref="B5:H5"/>
    <mergeCell ref="B30:N30"/>
  </mergeCells>
  <pageMargins left="0.7" right="0.7" top="0.75" bottom="0.75" header="0.3" footer="0.3"/>
  <pageSetup paperSize="9" scale="60" fitToHeight="0" orientation="portrait" r:id="rId1"/>
  <rowBreaks count="1" manualBreakCount="1">
    <brk id="2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0066"/>
    <pageSetUpPr fitToPage="1"/>
  </sheetPr>
  <dimension ref="B1:M55"/>
  <sheetViews>
    <sheetView showGridLines="0" workbookViewId="0"/>
  </sheetViews>
  <sheetFormatPr baseColWidth="10" defaultRowHeight="14.4"/>
  <cols>
    <col min="1" max="1" width="3.6640625" style="162" customWidth="1"/>
    <col min="2" max="2" width="16.88671875" style="162" customWidth="1"/>
    <col min="3" max="3" width="29.109375" style="162" customWidth="1"/>
    <col min="4" max="16384" width="11.5546875" style="162"/>
  </cols>
  <sheetData>
    <row r="1" spans="2:8" ht="25.8">
      <c r="B1" s="161" t="s">
        <v>88</v>
      </c>
    </row>
    <row r="3" spans="2:8" ht="78.75" customHeight="1">
      <c r="B3" s="237" t="s">
        <v>89</v>
      </c>
      <c r="C3" s="237"/>
      <c r="D3" s="237"/>
      <c r="E3" s="237"/>
      <c r="F3" s="237"/>
    </row>
    <row r="5" spans="2:8">
      <c r="B5" s="238" t="s">
        <v>14</v>
      </c>
      <c r="C5" s="238"/>
      <c r="D5" s="238"/>
      <c r="E5" s="239"/>
      <c r="F5" s="239"/>
      <c r="G5" s="239"/>
      <c r="H5" s="239"/>
    </row>
    <row r="6" spans="2:8" ht="15" thickBot="1"/>
    <row r="7" spans="2:8" s="168" customFormat="1" ht="15" thickBot="1">
      <c r="B7" s="240" t="s">
        <v>59</v>
      </c>
      <c r="C7" s="241">
        <v>50</v>
      </c>
      <c r="D7" s="242" t="s">
        <v>16</v>
      </c>
    </row>
    <row r="9" spans="2:8" s="168" customFormat="1" ht="30.75" customHeight="1">
      <c r="B9" s="243" t="s">
        <v>60</v>
      </c>
      <c r="C9" s="244"/>
      <c r="D9" s="245"/>
      <c r="E9" s="246"/>
      <c r="F9" s="246"/>
      <c r="G9" s="246"/>
      <c r="H9" s="246"/>
    </row>
    <row r="10" spans="2:8" ht="15" thickBot="1"/>
    <row r="11" spans="2:8" ht="15" thickBot="1">
      <c r="B11" s="247" t="s">
        <v>61</v>
      </c>
      <c r="C11" s="248">
        <v>2.6579999999999999</v>
      </c>
      <c r="D11" s="249" t="s">
        <v>17</v>
      </c>
      <c r="E11" s="227" t="s">
        <v>92</v>
      </c>
    </row>
    <row r="12" spans="2:8" ht="15" thickBot="1"/>
    <row r="13" spans="2:8" ht="15" thickBot="1">
      <c r="B13" s="250" t="s">
        <v>0</v>
      </c>
      <c r="C13" s="251" t="s">
        <v>71</v>
      </c>
    </row>
    <row r="14" spans="2:8">
      <c r="B14" s="252" t="s">
        <v>41</v>
      </c>
      <c r="C14" s="5"/>
    </row>
    <row r="15" spans="2:8">
      <c r="B15" s="253" t="s">
        <v>42</v>
      </c>
      <c r="C15" s="4"/>
    </row>
    <row r="16" spans="2:8">
      <c r="B16" s="253" t="s">
        <v>43</v>
      </c>
      <c r="C16" s="4"/>
    </row>
    <row r="17" spans="2:13">
      <c r="B17" s="253" t="s">
        <v>44</v>
      </c>
      <c r="C17" s="4"/>
    </row>
    <row r="18" spans="2:13">
      <c r="B18" s="253" t="s">
        <v>45</v>
      </c>
      <c r="C18" s="4"/>
    </row>
    <row r="19" spans="2:13">
      <c r="B19" s="253" t="s">
        <v>58</v>
      </c>
      <c r="C19" s="4"/>
    </row>
    <row r="20" spans="2:13" ht="15" thickBot="1">
      <c r="B20" s="253" t="s">
        <v>46</v>
      </c>
      <c r="C20" s="4"/>
    </row>
    <row r="21" spans="2:13" ht="15" thickBot="1">
      <c r="B21" s="254" t="s">
        <v>47</v>
      </c>
      <c r="C21" s="6"/>
      <c r="G21" s="195" t="s">
        <v>26</v>
      </c>
      <c r="H21" s="196"/>
      <c r="I21" s="196"/>
      <c r="J21" s="196"/>
      <c r="K21" s="196"/>
      <c r="L21" s="196"/>
      <c r="M21" s="197"/>
    </row>
    <row r="22" spans="2:13" ht="15" thickBot="1"/>
    <row r="23" spans="2:13" ht="15" thickBot="1">
      <c r="G23" s="255"/>
      <c r="H23" s="256" t="s">
        <v>63</v>
      </c>
      <c r="I23" s="257"/>
      <c r="J23" s="257"/>
      <c r="K23" s="257"/>
      <c r="L23" s="257"/>
      <c r="M23" s="258" t="s">
        <v>64</v>
      </c>
    </row>
    <row r="24" spans="2:13" ht="15" thickBot="1">
      <c r="B24" s="250" t="s">
        <v>0</v>
      </c>
      <c r="C24" s="251" t="s">
        <v>72</v>
      </c>
      <c r="G24" s="255"/>
      <c r="H24" s="259" t="s">
        <v>65</v>
      </c>
      <c r="I24" s="260" t="s">
        <v>66</v>
      </c>
      <c r="J24" s="260" t="s">
        <v>67</v>
      </c>
      <c r="K24" s="260" t="s">
        <v>68</v>
      </c>
      <c r="L24" s="260" t="s">
        <v>69</v>
      </c>
      <c r="M24" s="261" t="s">
        <v>70</v>
      </c>
    </row>
    <row r="25" spans="2:13">
      <c r="B25" s="252" t="s">
        <v>41</v>
      </c>
      <c r="C25" s="7"/>
      <c r="G25" s="262" t="s">
        <v>41</v>
      </c>
      <c r="H25" s="263">
        <v>16.318899999999999</v>
      </c>
      <c r="I25" s="264">
        <v>8</v>
      </c>
      <c r="J25" s="264">
        <v>8</v>
      </c>
      <c r="K25" s="124">
        <v>1.4999999999999999E-2</v>
      </c>
      <c r="L25" s="125">
        <v>1.4999999999999999E-2</v>
      </c>
      <c r="M25" s="265">
        <v>1.7045816435350001</v>
      </c>
    </row>
    <row r="26" spans="2:13">
      <c r="B26" s="253" t="s">
        <v>42</v>
      </c>
      <c r="C26" s="3"/>
      <c r="G26" s="266" t="s">
        <v>42</v>
      </c>
      <c r="H26" s="267">
        <v>14.2362</v>
      </c>
      <c r="I26" s="268">
        <v>8</v>
      </c>
      <c r="J26" s="268">
        <v>8</v>
      </c>
      <c r="K26" s="126">
        <v>1.4999999999999999E-2</v>
      </c>
      <c r="L26" s="127">
        <v>1.4999999999999999E-2</v>
      </c>
      <c r="M26" s="265">
        <v>3.6883107495549994</v>
      </c>
    </row>
    <row r="27" spans="2:13">
      <c r="B27" s="253" t="s">
        <v>43</v>
      </c>
      <c r="C27" s="3"/>
      <c r="G27" s="266" t="s">
        <v>43</v>
      </c>
      <c r="H27" s="267">
        <v>10.8224</v>
      </c>
      <c r="I27" s="268">
        <v>8</v>
      </c>
      <c r="J27" s="268">
        <v>8</v>
      </c>
      <c r="K27" s="126">
        <v>1.4999999999999999E-2</v>
      </c>
      <c r="L27" s="127">
        <v>1.4999999999999999E-2</v>
      </c>
      <c r="M27" s="265">
        <v>10.52938984125</v>
      </c>
    </row>
    <row r="28" spans="2:13">
      <c r="B28" s="253" t="s">
        <v>44</v>
      </c>
      <c r="C28" s="3"/>
      <c r="G28" s="266" t="s">
        <v>44</v>
      </c>
      <c r="H28" s="267">
        <v>13.9489</v>
      </c>
      <c r="I28" s="268">
        <v>8</v>
      </c>
      <c r="J28" s="268">
        <v>8</v>
      </c>
      <c r="K28" s="126">
        <v>1.4999999999999999E-2</v>
      </c>
      <c r="L28" s="127">
        <v>1.4999999999999999E-2</v>
      </c>
      <c r="M28" s="265">
        <v>28.745487809456659</v>
      </c>
    </row>
    <row r="29" spans="2:13">
      <c r="B29" s="253" t="s">
        <v>45</v>
      </c>
      <c r="C29" s="3"/>
      <c r="G29" s="266" t="s">
        <v>45</v>
      </c>
      <c r="H29" s="267">
        <v>14.0982</v>
      </c>
      <c r="I29" s="268">
        <v>8</v>
      </c>
      <c r="J29" s="268">
        <v>8</v>
      </c>
      <c r="K29" s="126">
        <v>1.4999999999999999E-2</v>
      </c>
      <c r="L29" s="127">
        <v>1.4999999999999999E-2</v>
      </c>
      <c r="M29" s="265">
        <v>3.1328456808616658</v>
      </c>
    </row>
    <row r="30" spans="2:13">
      <c r="B30" s="253" t="s">
        <v>58</v>
      </c>
      <c r="C30" s="3"/>
      <c r="G30" s="266" t="s">
        <v>58</v>
      </c>
      <c r="H30" s="267">
        <v>10.6844</v>
      </c>
      <c r="I30" s="268">
        <v>8</v>
      </c>
      <c r="J30" s="268">
        <v>8</v>
      </c>
      <c r="K30" s="126">
        <v>1.4999999999999999E-2</v>
      </c>
      <c r="L30" s="127">
        <v>1.4999999999999999E-2</v>
      </c>
      <c r="M30" s="265">
        <v>7.5505906980983308</v>
      </c>
    </row>
    <row r="31" spans="2:13">
      <c r="B31" s="253" t="s">
        <v>46</v>
      </c>
      <c r="C31" s="3"/>
      <c r="G31" s="266" t="s">
        <v>46</v>
      </c>
      <c r="H31" s="267">
        <v>13.8865</v>
      </c>
      <c r="I31" s="268">
        <v>8</v>
      </c>
      <c r="J31" s="268">
        <v>8</v>
      </c>
      <c r="K31" s="126">
        <v>1.4999999999999999E-2</v>
      </c>
      <c r="L31" s="127">
        <v>1.4999999999999999E-2</v>
      </c>
      <c r="M31" s="265">
        <v>112.35054141236498</v>
      </c>
    </row>
    <row r="32" spans="2:13" ht="15" thickBot="1">
      <c r="B32" s="254" t="s">
        <v>47</v>
      </c>
      <c r="C32" s="8"/>
      <c r="G32" s="269" t="s">
        <v>47</v>
      </c>
      <c r="H32" s="270">
        <v>5.6835000000000004</v>
      </c>
      <c r="I32" s="271">
        <v>8</v>
      </c>
      <c r="J32" s="271">
        <v>8</v>
      </c>
      <c r="K32" s="128">
        <v>1.4999999999999999E-2</v>
      </c>
      <c r="L32" s="129">
        <v>1.4999999999999999E-2</v>
      </c>
      <c r="M32" s="272">
        <v>660.09032070608328</v>
      </c>
    </row>
    <row r="34" spans="2:3" ht="15" thickBot="1"/>
    <row r="35" spans="2:3" ht="15" thickBot="1">
      <c r="B35" s="273" t="s">
        <v>0</v>
      </c>
      <c r="C35" s="274" t="s">
        <v>30</v>
      </c>
    </row>
    <row r="36" spans="2:3">
      <c r="B36" s="275" t="s">
        <v>41</v>
      </c>
      <c r="C36" s="276">
        <f>(C25+C14*$C$7+$C$11)</f>
        <v>2.6579999999999999</v>
      </c>
    </row>
    <row r="37" spans="2:3">
      <c r="B37" s="277" t="s">
        <v>42</v>
      </c>
      <c r="C37" s="276">
        <f t="shared" ref="C37:C43" si="0">(C26+C15*$C$7+$C$11)</f>
        <v>2.6579999999999999</v>
      </c>
    </row>
    <row r="38" spans="2:3">
      <c r="B38" s="277" t="s">
        <v>43</v>
      </c>
      <c r="C38" s="276">
        <f t="shared" si="0"/>
        <v>2.6579999999999999</v>
      </c>
    </row>
    <row r="39" spans="2:3">
      <c r="B39" s="277" t="s">
        <v>44</v>
      </c>
      <c r="C39" s="276">
        <f t="shared" si="0"/>
        <v>2.6579999999999999</v>
      </c>
    </row>
    <row r="40" spans="2:3">
      <c r="B40" s="277" t="s">
        <v>45</v>
      </c>
      <c r="C40" s="276">
        <f t="shared" si="0"/>
        <v>2.6579999999999999</v>
      </c>
    </row>
    <row r="41" spans="2:3">
      <c r="B41" s="277" t="s">
        <v>58</v>
      </c>
      <c r="C41" s="276">
        <f t="shared" si="0"/>
        <v>2.6579999999999999</v>
      </c>
    </row>
    <row r="42" spans="2:3">
      <c r="B42" s="277" t="s">
        <v>46</v>
      </c>
      <c r="C42" s="276">
        <f t="shared" si="0"/>
        <v>2.6579999999999999</v>
      </c>
    </row>
    <row r="43" spans="2:3" ht="15" thickBot="1">
      <c r="B43" s="278" t="s">
        <v>47</v>
      </c>
      <c r="C43" s="276">
        <f t="shared" si="0"/>
        <v>2.6579999999999999</v>
      </c>
    </row>
    <row r="44" spans="2:3">
      <c r="B44" s="194" t="s">
        <v>29</v>
      </c>
    </row>
    <row r="45" spans="2:3">
      <c r="B45" s="194"/>
    </row>
    <row r="46" spans="2:3" ht="15" thickBot="1"/>
    <row r="47" spans="2:3" ht="15" thickBot="1">
      <c r="B47" s="250" t="s">
        <v>0</v>
      </c>
      <c r="C47" s="251" t="s">
        <v>48</v>
      </c>
    </row>
    <row r="48" spans="2:3">
      <c r="B48" s="252" t="s">
        <v>41</v>
      </c>
      <c r="C48" s="7"/>
    </row>
    <row r="49" spans="2:3">
      <c r="B49" s="253" t="s">
        <v>42</v>
      </c>
      <c r="C49" s="3"/>
    </row>
    <row r="50" spans="2:3">
      <c r="B50" s="253" t="s">
        <v>43</v>
      </c>
      <c r="C50" s="3"/>
    </row>
    <row r="51" spans="2:3">
      <c r="B51" s="253" t="s">
        <v>44</v>
      </c>
      <c r="C51" s="3"/>
    </row>
    <row r="52" spans="2:3">
      <c r="B52" s="253" t="s">
        <v>45</v>
      </c>
      <c r="C52" s="3"/>
    </row>
    <row r="53" spans="2:3">
      <c r="B53" s="253" t="s">
        <v>58</v>
      </c>
      <c r="C53" s="3"/>
    </row>
    <row r="54" spans="2:3">
      <c r="B54" s="253" t="s">
        <v>46</v>
      </c>
      <c r="C54" s="3"/>
    </row>
    <row r="55" spans="2:3" ht="15" thickBot="1">
      <c r="B55" s="254" t="s">
        <v>47</v>
      </c>
      <c r="C55" s="8"/>
    </row>
  </sheetData>
  <sheetProtection algorithmName="SHA-512" hashValue="QY0okTtjuTIzVbzjA/GlFifolzn3wIUDapJfDFSX84QSpY42+w43X1z9OmVHC8SOHzpgW3HkZa0YhzUTJWltqQ==" saltValue="Hq299RpiKTLqfDsTVXsWRw==" spinCount="100000" sheet="1" objects="1" scenarios="1"/>
  <mergeCells count="5">
    <mergeCell ref="B5:D5"/>
    <mergeCell ref="B9:D9"/>
    <mergeCell ref="H23:L23"/>
    <mergeCell ref="G21:M21"/>
    <mergeCell ref="B3:F3"/>
  </mergeCells>
  <phoneticPr fontId="12" type="noConversion"/>
  <pageMargins left="0.7" right="0.7" top="0.75" bottom="0.75" header="0.3" footer="0.3"/>
  <pageSetup paperSize="9" scale="72" orientation="portrait" r:id="rId1"/>
  <ignoredErrors>
    <ignoredError sqref="C36:C4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 tint="0.499984740745262"/>
    <pageSetUpPr fitToPage="1"/>
  </sheetPr>
  <dimension ref="A2:X49"/>
  <sheetViews>
    <sheetView showGridLines="0" workbookViewId="0"/>
  </sheetViews>
  <sheetFormatPr baseColWidth="10" defaultRowHeight="14.4"/>
  <cols>
    <col min="1" max="1" width="3.6640625" customWidth="1"/>
    <col min="9" max="9" width="13" bestFit="1" customWidth="1"/>
    <col min="10" max="10" width="5.44140625" customWidth="1"/>
    <col min="17" max="17" width="13" bestFit="1" customWidth="1"/>
  </cols>
  <sheetData>
    <row r="2" spans="2:20" ht="15" thickBot="1">
      <c r="B2" s="10"/>
    </row>
    <row r="3" spans="2:20" s="27" customFormat="1" ht="15.6">
      <c r="B3" s="120" t="s">
        <v>51</v>
      </c>
      <c r="C3" s="121"/>
      <c r="D3" s="121"/>
      <c r="E3" s="121"/>
      <c r="F3" s="121"/>
      <c r="G3" s="121"/>
      <c r="H3" s="121"/>
      <c r="I3" s="121"/>
      <c r="J3" s="121"/>
      <c r="K3" s="121"/>
      <c r="L3" s="122"/>
      <c r="M3" s="122"/>
      <c r="N3" s="122"/>
      <c r="O3" s="122"/>
      <c r="P3" s="122"/>
      <c r="Q3" s="122"/>
    </row>
    <row r="4" spans="2:20" s="1" customFormat="1" ht="21" customHeight="1" thickBot="1">
      <c r="B4" s="2"/>
    </row>
    <row r="5" spans="2:20" ht="15" thickBot="1">
      <c r="B5" s="123" t="s">
        <v>73</v>
      </c>
      <c r="C5" s="155" t="s">
        <v>28</v>
      </c>
      <c r="D5" s="156"/>
      <c r="E5" s="156"/>
      <c r="F5" s="156"/>
      <c r="G5" s="156"/>
      <c r="H5" s="157"/>
      <c r="K5" s="123" t="s">
        <v>73</v>
      </c>
      <c r="L5" s="155" t="s">
        <v>32</v>
      </c>
      <c r="M5" s="156"/>
      <c r="N5" s="156"/>
      <c r="O5" s="156"/>
      <c r="P5" s="156"/>
      <c r="Q5" s="157"/>
    </row>
    <row r="6" spans="2:20" ht="15" thickBot="1">
      <c r="B6" s="28" t="s">
        <v>0</v>
      </c>
      <c r="C6" s="12" t="s">
        <v>1</v>
      </c>
      <c r="D6" s="13" t="s">
        <v>2</v>
      </c>
      <c r="E6" s="13" t="s">
        <v>3</v>
      </c>
      <c r="F6" s="13" t="s">
        <v>4</v>
      </c>
      <c r="G6" s="13" t="s">
        <v>5</v>
      </c>
      <c r="H6" s="14" t="s">
        <v>6</v>
      </c>
      <c r="I6" s="29" t="s">
        <v>7</v>
      </c>
      <c r="K6" s="28" t="s">
        <v>0</v>
      </c>
      <c r="L6" s="12" t="s">
        <v>1</v>
      </c>
      <c r="M6" s="13" t="s">
        <v>2</v>
      </c>
      <c r="N6" s="13" t="s">
        <v>3</v>
      </c>
      <c r="O6" s="13" t="s">
        <v>4</v>
      </c>
      <c r="P6" s="13" t="s">
        <v>5</v>
      </c>
      <c r="Q6" s="14" t="s">
        <v>6</v>
      </c>
    </row>
    <row r="7" spans="2:20" ht="15" thickBot="1">
      <c r="B7" s="15" t="s">
        <v>36</v>
      </c>
      <c r="C7" s="30">
        <v>2929044.5258620689</v>
      </c>
      <c r="D7" s="30">
        <v>2573466.7186206896</v>
      </c>
      <c r="E7" s="30">
        <v>2356419.0248275851</v>
      </c>
      <c r="F7" s="31">
        <v>0</v>
      </c>
      <c r="G7" s="31">
        <v>0</v>
      </c>
      <c r="H7" s="32">
        <v>0</v>
      </c>
      <c r="I7" s="33">
        <f>SUM(C7:H7)</f>
        <v>7858930.269310344</v>
      </c>
      <c r="K7" s="15" t="s">
        <v>36</v>
      </c>
      <c r="L7" s="34">
        <v>10368.386999999966</v>
      </c>
      <c r="M7" s="34">
        <v>10384.661999999964</v>
      </c>
      <c r="N7" s="35">
        <v>0</v>
      </c>
      <c r="O7" s="35">
        <v>0</v>
      </c>
      <c r="P7" s="35">
        <v>0</v>
      </c>
      <c r="Q7" s="36">
        <v>0</v>
      </c>
      <c r="T7" s="60"/>
    </row>
    <row r="8" spans="2:20" ht="15" thickBot="1">
      <c r="B8" s="16" t="s">
        <v>37</v>
      </c>
      <c r="C8" s="30">
        <v>8233247.1417241367</v>
      </c>
      <c r="D8" s="30">
        <v>8074085.5855172416</v>
      </c>
      <c r="E8" s="30">
        <v>7473668.5006896537</v>
      </c>
      <c r="F8" s="30">
        <v>7823755.9379310347</v>
      </c>
      <c r="G8" s="30">
        <v>2821242.5206896556</v>
      </c>
      <c r="H8" s="30">
        <v>13912082.902758623</v>
      </c>
      <c r="I8" s="40">
        <f t="shared" ref="I8:I11" si="0">SUM(C8:H8)</f>
        <v>48338082.589310341</v>
      </c>
      <c r="K8" s="16" t="s">
        <v>37</v>
      </c>
      <c r="L8" s="34">
        <v>28574.714999999993</v>
      </c>
      <c r="M8" s="34">
        <v>29481.64599999999</v>
      </c>
      <c r="N8" s="34">
        <v>31204.436999999994</v>
      </c>
      <c r="O8" s="34">
        <v>31351.036999999993</v>
      </c>
      <c r="P8" s="34">
        <v>31663.89799999999</v>
      </c>
      <c r="Q8" s="34">
        <v>47109.109000000048</v>
      </c>
      <c r="T8" s="60"/>
    </row>
    <row r="9" spans="2:20">
      <c r="B9" s="16" t="s">
        <v>49</v>
      </c>
      <c r="C9" s="30">
        <v>5123405</v>
      </c>
      <c r="D9" s="30">
        <v>5659624</v>
      </c>
      <c r="E9" s="30">
        <v>5597275</v>
      </c>
      <c r="F9" s="30">
        <v>6202060</v>
      </c>
      <c r="G9" s="30">
        <v>2314815</v>
      </c>
      <c r="H9" s="30">
        <v>18829270</v>
      </c>
      <c r="I9" s="40">
        <f t="shared" si="0"/>
        <v>43726449</v>
      </c>
      <c r="K9" s="16" t="s">
        <v>49</v>
      </c>
      <c r="L9" s="34">
        <v>12915.779999999999</v>
      </c>
      <c r="M9" s="34">
        <v>13100.189999999999</v>
      </c>
      <c r="N9" s="34">
        <v>13381.189999999999</v>
      </c>
      <c r="O9" s="34">
        <v>13440.189999999999</v>
      </c>
      <c r="P9" s="34">
        <v>13440.189999999999</v>
      </c>
      <c r="Q9" s="34">
        <v>23007.759999999998</v>
      </c>
      <c r="T9" s="60"/>
    </row>
    <row r="10" spans="2:20" ht="15" thickBot="1">
      <c r="B10" s="41" t="s">
        <v>50</v>
      </c>
      <c r="C10" s="42">
        <v>211141</v>
      </c>
      <c r="D10" s="43">
        <v>259652</v>
      </c>
      <c r="E10" s="43">
        <v>241503</v>
      </c>
      <c r="F10" s="43">
        <v>289330</v>
      </c>
      <c r="G10" s="43">
        <v>127592</v>
      </c>
      <c r="H10" s="44">
        <v>1017199</v>
      </c>
      <c r="I10" s="45">
        <f t="shared" si="0"/>
        <v>2146417</v>
      </c>
      <c r="K10" s="17" t="s">
        <v>50</v>
      </c>
      <c r="L10" s="46">
        <v>513</v>
      </c>
      <c r="M10" s="47">
        <v>513</v>
      </c>
      <c r="N10" s="47">
        <v>553</v>
      </c>
      <c r="O10" s="47">
        <v>553</v>
      </c>
      <c r="P10" s="47">
        <v>553</v>
      </c>
      <c r="Q10" s="48">
        <v>880</v>
      </c>
    </row>
    <row r="11" spans="2:20" s="10" customFormat="1" ht="15" thickBot="1">
      <c r="B11" s="11" t="s">
        <v>7</v>
      </c>
      <c r="C11" s="49">
        <f t="shared" ref="C11:H11" si="1">SUM(C7:C10)</f>
        <v>16496837.667586206</v>
      </c>
      <c r="D11" s="50">
        <f t="shared" si="1"/>
        <v>16566828.30413793</v>
      </c>
      <c r="E11" s="50">
        <f t="shared" si="1"/>
        <v>15668865.525517238</v>
      </c>
      <c r="F11" s="50">
        <f t="shared" si="1"/>
        <v>14315145.937931035</v>
      </c>
      <c r="G11" s="50">
        <f t="shared" si="1"/>
        <v>5263649.5206896551</v>
      </c>
      <c r="H11" s="51">
        <f t="shared" si="1"/>
        <v>33758551.902758621</v>
      </c>
      <c r="I11" s="52">
        <f t="shared" si="0"/>
        <v>102069878.85862067</v>
      </c>
    </row>
    <row r="12" spans="2:20" ht="15" thickBot="1">
      <c r="D12" s="53"/>
      <c r="E12" s="53"/>
      <c r="F12" s="53"/>
      <c r="G12" s="53"/>
      <c r="H12" s="53"/>
      <c r="I12" s="53"/>
      <c r="K12" s="53"/>
      <c r="L12" s="53"/>
      <c r="M12" s="53"/>
      <c r="N12" s="53"/>
      <c r="O12" s="53"/>
      <c r="P12" s="53"/>
    </row>
    <row r="13" spans="2:20" ht="15" thickBot="1">
      <c r="B13" s="123" t="s">
        <v>74</v>
      </c>
      <c r="C13" s="12" t="s">
        <v>1</v>
      </c>
      <c r="D13" s="13" t="s">
        <v>2</v>
      </c>
      <c r="E13" s="13" t="s">
        <v>3</v>
      </c>
      <c r="F13" s="13" t="s">
        <v>4</v>
      </c>
      <c r="G13" s="13" t="s">
        <v>5</v>
      </c>
      <c r="H13" s="14" t="s">
        <v>6</v>
      </c>
      <c r="I13" s="29" t="s">
        <v>7</v>
      </c>
      <c r="K13" s="123" t="s">
        <v>74</v>
      </c>
      <c r="L13" s="12" t="s">
        <v>1</v>
      </c>
      <c r="M13" s="13" t="s">
        <v>2</v>
      </c>
      <c r="N13" s="13" t="s">
        <v>3</v>
      </c>
      <c r="O13" s="13" t="s">
        <v>4</v>
      </c>
      <c r="P13" s="13" t="s">
        <v>5</v>
      </c>
      <c r="Q13" s="14" t="s">
        <v>6</v>
      </c>
    </row>
    <row r="14" spans="2:20">
      <c r="B14" s="15" t="s">
        <v>36</v>
      </c>
      <c r="C14" s="30">
        <v>139424.43</v>
      </c>
      <c r="D14" s="31">
        <v>138233.69999999998</v>
      </c>
      <c r="E14" s="31">
        <v>313750.3</v>
      </c>
      <c r="F14" s="31"/>
      <c r="G14" s="31"/>
      <c r="H14" s="32"/>
      <c r="I14" s="33">
        <f>SUM(C14:H14)</f>
        <v>591408.42999999993</v>
      </c>
      <c r="K14" s="15" t="s">
        <v>36</v>
      </c>
      <c r="L14" s="34">
        <v>401.46299999999985</v>
      </c>
      <c r="M14" s="35">
        <v>401.46299999999985</v>
      </c>
      <c r="N14" s="35"/>
      <c r="O14" s="35"/>
      <c r="P14" s="35"/>
      <c r="Q14" s="36"/>
    </row>
    <row r="15" spans="2:20">
      <c r="B15" s="16" t="s">
        <v>37</v>
      </c>
      <c r="C15" s="37">
        <v>72831.009999999995</v>
      </c>
      <c r="D15" s="38">
        <v>88275.51999999999</v>
      </c>
      <c r="E15" s="38">
        <v>75283.989999999991</v>
      </c>
      <c r="F15" s="38">
        <v>89944.43</v>
      </c>
      <c r="G15" s="38">
        <v>40589</v>
      </c>
      <c r="H15" s="39">
        <v>420701.42000000004</v>
      </c>
      <c r="I15" s="40">
        <f t="shared" ref="I15:I18" si="2">SUM(C15:H15)</f>
        <v>787625.37</v>
      </c>
      <c r="K15" s="16" t="s">
        <v>37</v>
      </c>
      <c r="L15" s="37">
        <v>557.62200000000007</v>
      </c>
      <c r="M15" s="38">
        <v>557.62200000000007</v>
      </c>
      <c r="N15" s="38">
        <v>557.62200000000007</v>
      </c>
      <c r="O15" s="38">
        <v>557.62200000000007</v>
      </c>
      <c r="P15" s="38">
        <v>557.62200000000007</v>
      </c>
      <c r="Q15" s="39">
        <v>557.62200000000007</v>
      </c>
    </row>
    <row r="16" spans="2:20">
      <c r="B16" s="16" t="s">
        <v>49</v>
      </c>
      <c r="C16" s="37">
        <v>15739</v>
      </c>
      <c r="D16" s="38">
        <v>20074</v>
      </c>
      <c r="E16" s="38">
        <v>17900.620000000003</v>
      </c>
      <c r="F16" s="38">
        <v>21804.93</v>
      </c>
      <c r="G16" s="38">
        <v>9830.7999999999993</v>
      </c>
      <c r="H16" s="39">
        <v>98384.66</v>
      </c>
      <c r="I16" s="40">
        <f t="shared" si="2"/>
        <v>183734.01</v>
      </c>
      <c r="K16" s="16" t="s">
        <v>49</v>
      </c>
      <c r="L16" s="37">
        <v>230.07000000000002</v>
      </c>
      <c r="M16" s="38">
        <v>230.07000000000002</v>
      </c>
      <c r="N16" s="38">
        <v>230.07000000000002</v>
      </c>
      <c r="O16" s="38">
        <v>230.07000000000002</v>
      </c>
      <c r="P16" s="38">
        <v>230.07000000000002</v>
      </c>
      <c r="Q16" s="39">
        <v>246.07000000000002</v>
      </c>
    </row>
    <row r="17" spans="1:24" ht="15" thickBot="1">
      <c r="B17" s="41" t="s">
        <v>50</v>
      </c>
      <c r="C17" s="42">
        <v>2098</v>
      </c>
      <c r="D17" s="43">
        <v>2650</v>
      </c>
      <c r="E17" s="43">
        <v>2505</v>
      </c>
      <c r="F17" s="43">
        <v>2873</v>
      </c>
      <c r="G17" s="43">
        <v>1185</v>
      </c>
      <c r="H17" s="44">
        <v>13164</v>
      </c>
      <c r="I17" s="45">
        <f t="shared" si="2"/>
        <v>24475</v>
      </c>
      <c r="K17" s="17" t="s">
        <v>50</v>
      </c>
      <c r="L17" s="46">
        <v>16</v>
      </c>
      <c r="M17" s="47">
        <v>16</v>
      </c>
      <c r="N17" s="47">
        <v>16</v>
      </c>
      <c r="O17" s="47">
        <v>16</v>
      </c>
      <c r="P17" s="47">
        <v>16</v>
      </c>
      <c r="Q17" s="48">
        <v>16</v>
      </c>
    </row>
    <row r="18" spans="1:24" s="10" customFormat="1" ht="15" thickBot="1">
      <c r="B18" s="11" t="s">
        <v>7</v>
      </c>
      <c r="C18" s="49">
        <f t="shared" ref="C18:H18" si="3">SUM(C14:C17)</f>
        <v>230092.44</v>
      </c>
      <c r="D18" s="50">
        <f t="shared" si="3"/>
        <v>249233.21999999997</v>
      </c>
      <c r="E18" s="50">
        <f t="shared" si="3"/>
        <v>409439.91</v>
      </c>
      <c r="F18" s="50">
        <f t="shared" si="3"/>
        <v>114622.35999999999</v>
      </c>
      <c r="G18" s="50">
        <f t="shared" si="3"/>
        <v>51604.800000000003</v>
      </c>
      <c r="H18" s="51">
        <f t="shared" si="3"/>
        <v>532250.08000000007</v>
      </c>
      <c r="I18" s="52">
        <f t="shared" si="2"/>
        <v>1587242.81</v>
      </c>
    </row>
    <row r="19" spans="1:24" s="10" customFormat="1" ht="15" thickBot="1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24" ht="15" thickBot="1">
      <c r="B20" s="123" t="s">
        <v>76</v>
      </c>
      <c r="C20" s="155" t="s">
        <v>28</v>
      </c>
      <c r="D20" s="156"/>
      <c r="E20" s="156"/>
      <c r="F20" s="156"/>
      <c r="G20" s="156"/>
      <c r="H20" s="157"/>
      <c r="K20" s="123" t="s">
        <v>76</v>
      </c>
      <c r="L20" s="155" t="s">
        <v>32</v>
      </c>
      <c r="M20" s="156"/>
      <c r="N20" s="156"/>
      <c r="O20" s="156"/>
      <c r="P20" s="156"/>
      <c r="Q20" s="157"/>
      <c r="R20" s="10"/>
      <c r="S20" s="10"/>
      <c r="T20" s="10"/>
    </row>
    <row r="21" spans="1:24" ht="15.75" customHeight="1" thickBot="1">
      <c r="B21" s="28" t="s">
        <v>0</v>
      </c>
      <c r="C21" s="12" t="s">
        <v>1</v>
      </c>
      <c r="D21" s="13" t="s">
        <v>2</v>
      </c>
      <c r="E21" s="13" t="s">
        <v>3</v>
      </c>
      <c r="F21" s="13" t="s">
        <v>4</v>
      </c>
      <c r="G21" s="13" t="s">
        <v>5</v>
      </c>
      <c r="H21" s="14" t="s">
        <v>6</v>
      </c>
      <c r="I21" s="29" t="s">
        <v>7</v>
      </c>
      <c r="K21" s="28" t="s">
        <v>0</v>
      </c>
      <c r="L21" s="12" t="s">
        <v>1</v>
      </c>
      <c r="M21" s="13" t="s">
        <v>2</v>
      </c>
      <c r="N21" s="13" t="s">
        <v>3</v>
      </c>
      <c r="O21" s="13" t="s">
        <v>4</v>
      </c>
      <c r="P21" s="13" t="s">
        <v>5</v>
      </c>
      <c r="Q21" s="14" t="s">
        <v>6</v>
      </c>
      <c r="R21" s="10"/>
      <c r="S21" s="10"/>
      <c r="T21" s="10"/>
    </row>
    <row r="22" spans="1:24">
      <c r="B22" s="15" t="s">
        <v>36</v>
      </c>
      <c r="C22" s="30">
        <v>128286.1748202071</v>
      </c>
      <c r="D22" s="31">
        <v>123420.19592634811</v>
      </c>
      <c r="E22" s="31">
        <v>125301.94994309994</v>
      </c>
      <c r="F22" s="31"/>
      <c r="G22" s="31"/>
      <c r="H22" s="32"/>
      <c r="I22" s="33">
        <f>SUM(C22:H22)</f>
        <v>377008.32068965514</v>
      </c>
      <c r="K22" s="15" t="s">
        <v>36</v>
      </c>
      <c r="L22" s="34">
        <v>149.65</v>
      </c>
      <c r="M22" s="35">
        <v>149.65</v>
      </c>
      <c r="N22" s="35">
        <v>0</v>
      </c>
      <c r="O22" s="35">
        <v>0</v>
      </c>
      <c r="P22" s="35">
        <v>0</v>
      </c>
      <c r="Q22" s="36">
        <v>0</v>
      </c>
      <c r="R22" s="10"/>
      <c r="S22" s="10"/>
      <c r="T22" s="10"/>
    </row>
    <row r="23" spans="1:24">
      <c r="B23" s="16" t="s">
        <v>37</v>
      </c>
      <c r="C23" s="37">
        <v>999836.58724652173</v>
      </c>
      <c r="D23" s="38">
        <v>1023358.8892883894</v>
      </c>
      <c r="E23" s="38">
        <v>923456.47876632761</v>
      </c>
      <c r="F23" s="38">
        <v>975449.70564740698</v>
      </c>
      <c r="G23" s="38">
        <v>364766.4114656974</v>
      </c>
      <c r="H23" s="39">
        <v>2102956.2882753126</v>
      </c>
      <c r="I23" s="40">
        <f t="shared" ref="I23:I25" si="4">SUM(C23:H23)</f>
        <v>6389824.3606896559</v>
      </c>
      <c r="K23" s="16" t="s">
        <v>37</v>
      </c>
      <c r="L23" s="37">
        <v>1821.98</v>
      </c>
      <c r="M23" s="38">
        <v>1821.98</v>
      </c>
      <c r="N23" s="38">
        <v>1821.98</v>
      </c>
      <c r="O23" s="38">
        <v>1821.98</v>
      </c>
      <c r="P23" s="38">
        <v>1821.98</v>
      </c>
      <c r="Q23" s="39">
        <v>1821.98</v>
      </c>
      <c r="R23" s="10"/>
      <c r="S23" s="10"/>
      <c r="T23" s="10"/>
    </row>
    <row r="24" spans="1:24" ht="15" thickBot="1">
      <c r="B24" s="16" t="s">
        <v>49</v>
      </c>
      <c r="C24" s="37">
        <v>132072.62447880625</v>
      </c>
      <c r="D24" s="38">
        <v>141708.1064205399</v>
      </c>
      <c r="E24" s="38">
        <v>145053.66505041826</v>
      </c>
      <c r="F24" s="38">
        <v>163583.07119775104</v>
      </c>
      <c r="G24" s="38">
        <v>59473.202774081394</v>
      </c>
      <c r="H24" s="39">
        <v>456153.73007840302</v>
      </c>
      <c r="I24" s="40">
        <f t="shared" si="4"/>
        <v>1098044.3999999999</v>
      </c>
      <c r="K24" s="16" t="s">
        <v>49</v>
      </c>
      <c r="L24" s="37">
        <v>240</v>
      </c>
      <c r="M24" s="38">
        <v>240</v>
      </c>
      <c r="N24" s="38">
        <v>240</v>
      </c>
      <c r="O24" s="38">
        <v>240</v>
      </c>
      <c r="P24" s="38">
        <v>240</v>
      </c>
      <c r="Q24" s="39">
        <v>658.2</v>
      </c>
      <c r="R24" s="10"/>
      <c r="S24" s="10"/>
      <c r="T24" s="10"/>
    </row>
    <row r="25" spans="1:24" s="10" customFormat="1" ht="15" thickBot="1">
      <c r="A25"/>
      <c r="B25" s="11" t="s">
        <v>7</v>
      </c>
      <c r="C25" s="49">
        <f t="shared" ref="C25:H25" si="5">SUM(C22:C24)</f>
        <v>1260195.3865455352</v>
      </c>
      <c r="D25" s="50">
        <f t="shared" si="5"/>
        <v>1288487.1916352776</v>
      </c>
      <c r="E25" s="50">
        <f t="shared" si="5"/>
        <v>1193812.0937598459</v>
      </c>
      <c r="F25" s="50">
        <f t="shared" si="5"/>
        <v>1139032.7768451581</v>
      </c>
      <c r="G25" s="50">
        <f t="shared" si="5"/>
        <v>424239.61423977878</v>
      </c>
      <c r="H25" s="51">
        <f t="shared" si="5"/>
        <v>2559110.0183537155</v>
      </c>
      <c r="I25" s="52">
        <f t="shared" si="4"/>
        <v>7864877.0813793112</v>
      </c>
    </row>
    <row r="26" spans="1:24" s="10" customFormat="1" ht="15" thickBot="1">
      <c r="B26" s="9"/>
      <c r="C26" s="54"/>
      <c r="D26" s="54"/>
      <c r="E26" s="54"/>
      <c r="F26" s="55"/>
      <c r="G26" s="55"/>
      <c r="H26" s="56"/>
      <c r="I26" s="57"/>
    </row>
    <row r="27" spans="1:24" ht="15" thickBot="1">
      <c r="B27" s="123" t="s">
        <v>7</v>
      </c>
      <c r="C27" s="12" t="s">
        <v>1</v>
      </c>
      <c r="D27" s="13" t="s">
        <v>2</v>
      </c>
      <c r="E27" s="13" t="s">
        <v>3</v>
      </c>
      <c r="F27" s="13" t="s">
        <v>4</v>
      </c>
      <c r="G27" s="13" t="s">
        <v>5</v>
      </c>
      <c r="H27" s="14" t="s">
        <v>6</v>
      </c>
      <c r="I27" s="29" t="s">
        <v>7</v>
      </c>
      <c r="K27" s="123" t="s">
        <v>7</v>
      </c>
      <c r="L27" s="12" t="s">
        <v>1</v>
      </c>
      <c r="M27" s="13" t="s">
        <v>2</v>
      </c>
      <c r="N27" s="13" t="s">
        <v>3</v>
      </c>
      <c r="O27" s="13" t="s">
        <v>4</v>
      </c>
      <c r="P27" s="13" t="s">
        <v>5</v>
      </c>
      <c r="Q27" s="14" t="s">
        <v>6</v>
      </c>
    </row>
    <row r="28" spans="1:24">
      <c r="B28" s="15" t="s">
        <v>36</v>
      </c>
      <c r="C28" s="30">
        <f>+C14+C7+C22</f>
        <v>3196755.1306822761</v>
      </c>
      <c r="D28" s="31">
        <f t="shared" ref="D28:E28" si="6">+D14+D7+D22</f>
        <v>2835120.614547038</v>
      </c>
      <c r="E28" s="31">
        <f t="shared" si="6"/>
        <v>2795471.274770685</v>
      </c>
      <c r="F28" s="31">
        <f>+F14+F7</f>
        <v>0</v>
      </c>
      <c r="G28" s="31">
        <f>+G14+G7</f>
        <v>0</v>
      </c>
      <c r="H28" s="32">
        <f>+H14+H7</f>
        <v>0</v>
      </c>
      <c r="I28" s="33">
        <f>SUM(C28:H28)</f>
        <v>8827347.0199999996</v>
      </c>
      <c r="K28" s="15" t="s">
        <v>36</v>
      </c>
      <c r="L28" s="34">
        <f>+L14+L7+L22</f>
        <v>10919.499999999965</v>
      </c>
      <c r="M28" s="35">
        <f t="shared" ref="M28:Q28" si="7">+M14+M7+M22</f>
        <v>10935.774999999963</v>
      </c>
      <c r="N28" s="35">
        <f t="shared" si="7"/>
        <v>0</v>
      </c>
      <c r="O28" s="35">
        <f t="shared" si="7"/>
        <v>0</v>
      </c>
      <c r="P28" s="35">
        <f t="shared" si="7"/>
        <v>0</v>
      </c>
      <c r="Q28" s="36">
        <f t="shared" si="7"/>
        <v>0</v>
      </c>
    </row>
    <row r="29" spans="1:24">
      <c r="B29" s="16" t="s">
        <v>37</v>
      </c>
      <c r="C29" s="37">
        <f>+C15+C8+C23</f>
        <v>9305914.7389706578</v>
      </c>
      <c r="D29" s="38">
        <f t="shared" ref="D29:H29" si="8">+D15+D8+D23</f>
        <v>9185719.9948056303</v>
      </c>
      <c r="E29" s="38">
        <f t="shared" si="8"/>
        <v>8472408.9694559816</v>
      </c>
      <c r="F29" s="38">
        <f t="shared" si="8"/>
        <v>8889150.0735784415</v>
      </c>
      <c r="G29" s="38">
        <f t="shared" si="8"/>
        <v>3226597.932155353</v>
      </c>
      <c r="H29" s="39">
        <f t="shared" si="8"/>
        <v>16435740.611033935</v>
      </c>
      <c r="I29" s="40">
        <f t="shared" ref="I29:I32" si="9">SUM(C29:H29)</f>
        <v>55515532.319999993</v>
      </c>
      <c r="K29" s="16" t="s">
        <v>37</v>
      </c>
      <c r="L29" s="37">
        <f t="shared" ref="L29:Q30" si="10">+L15+L8+L23</f>
        <v>30954.316999999992</v>
      </c>
      <c r="M29" s="38">
        <f t="shared" si="10"/>
        <v>31861.247999999989</v>
      </c>
      <c r="N29" s="38">
        <f t="shared" si="10"/>
        <v>33584.038999999997</v>
      </c>
      <c r="O29" s="38">
        <f t="shared" si="10"/>
        <v>33730.638999999996</v>
      </c>
      <c r="P29" s="38">
        <f t="shared" si="10"/>
        <v>34043.499999999993</v>
      </c>
      <c r="Q29" s="39">
        <f t="shared" si="10"/>
        <v>49488.711000000054</v>
      </c>
    </row>
    <row r="30" spans="1:24">
      <c r="B30" s="16" t="s">
        <v>49</v>
      </c>
      <c r="C30" s="37">
        <f>+C16+C9+C24</f>
        <v>5271216.6244788058</v>
      </c>
      <c r="D30" s="38">
        <f t="shared" ref="D30:H30" si="11">+D16+D9+D24</f>
        <v>5821406.1064205403</v>
      </c>
      <c r="E30" s="38">
        <f t="shared" si="11"/>
        <v>5760229.2850504182</v>
      </c>
      <c r="F30" s="38">
        <f t="shared" si="11"/>
        <v>6387448.0011977507</v>
      </c>
      <c r="G30" s="38">
        <f t="shared" si="11"/>
        <v>2384119.0027740812</v>
      </c>
      <c r="H30" s="39">
        <f t="shared" si="11"/>
        <v>19383808.390078403</v>
      </c>
      <c r="I30" s="40">
        <f t="shared" si="9"/>
        <v>45008227.409999996</v>
      </c>
      <c r="K30" s="16" t="s">
        <v>49</v>
      </c>
      <c r="L30" s="37">
        <f t="shared" si="10"/>
        <v>13385.849999999999</v>
      </c>
      <c r="M30" s="38">
        <f t="shared" si="10"/>
        <v>13570.259999999998</v>
      </c>
      <c r="N30" s="38">
        <f t="shared" si="10"/>
        <v>13851.259999999998</v>
      </c>
      <c r="O30" s="38">
        <f t="shared" si="10"/>
        <v>13910.259999999998</v>
      </c>
      <c r="P30" s="38">
        <f t="shared" si="10"/>
        <v>13910.259999999998</v>
      </c>
      <c r="Q30" s="39">
        <f t="shared" si="10"/>
        <v>23912.03</v>
      </c>
    </row>
    <row r="31" spans="1:24" ht="15" thickBot="1">
      <c r="B31" s="41" t="s">
        <v>50</v>
      </c>
      <c r="C31" s="42">
        <f t="shared" ref="C31:H31" si="12">+C17+C10</f>
        <v>213239</v>
      </c>
      <c r="D31" s="43">
        <f t="shared" si="12"/>
        <v>262302</v>
      </c>
      <c r="E31" s="43">
        <f t="shared" si="12"/>
        <v>244008</v>
      </c>
      <c r="F31" s="43">
        <f t="shared" si="12"/>
        <v>292203</v>
      </c>
      <c r="G31" s="43">
        <f t="shared" si="12"/>
        <v>128777</v>
      </c>
      <c r="H31" s="44">
        <f t="shared" si="12"/>
        <v>1030363</v>
      </c>
      <c r="I31" s="45">
        <f t="shared" si="9"/>
        <v>2170892</v>
      </c>
      <c r="K31" s="17" t="s">
        <v>50</v>
      </c>
      <c r="L31" s="46">
        <f t="shared" ref="L31:Q31" si="13">+L17+L10</f>
        <v>529</v>
      </c>
      <c r="M31" s="47">
        <f t="shared" si="13"/>
        <v>529</v>
      </c>
      <c r="N31" s="47">
        <f t="shared" si="13"/>
        <v>569</v>
      </c>
      <c r="O31" s="47">
        <f t="shared" si="13"/>
        <v>569</v>
      </c>
      <c r="P31" s="47">
        <f t="shared" si="13"/>
        <v>569</v>
      </c>
      <c r="Q31" s="48">
        <f t="shared" si="13"/>
        <v>896</v>
      </c>
      <c r="S31" s="53"/>
      <c r="T31" s="53"/>
      <c r="U31" s="53"/>
      <c r="V31" s="53"/>
      <c r="W31" s="53"/>
      <c r="X31" s="53"/>
    </row>
    <row r="32" spans="1:24" s="10" customFormat="1" ht="15" thickBot="1">
      <c r="B32" s="11" t="s">
        <v>7</v>
      </c>
      <c r="C32" s="49">
        <f t="shared" ref="C32:H32" si="14">SUM(C28:C31)</f>
        <v>17987125.49413174</v>
      </c>
      <c r="D32" s="50">
        <f t="shared" si="14"/>
        <v>18104548.71577321</v>
      </c>
      <c r="E32" s="50">
        <f t="shared" si="14"/>
        <v>17272117.529277086</v>
      </c>
      <c r="F32" s="50">
        <f t="shared" si="14"/>
        <v>15568801.074776191</v>
      </c>
      <c r="G32" s="50">
        <f t="shared" si="14"/>
        <v>5739493.9349294342</v>
      </c>
      <c r="H32" s="51">
        <f t="shared" si="14"/>
        <v>36849912.001112342</v>
      </c>
      <c r="I32" s="52">
        <f t="shared" si="9"/>
        <v>111521998.75</v>
      </c>
      <c r="S32" s="53"/>
      <c r="T32" s="53"/>
      <c r="U32" s="53"/>
      <c r="V32" s="53"/>
      <c r="W32" s="53"/>
      <c r="X32" s="53"/>
    </row>
    <row r="33" spans="2:24" s="10" customFormat="1">
      <c r="B33" s="9"/>
      <c r="C33" s="54"/>
      <c r="D33" s="54"/>
      <c r="E33" s="54"/>
      <c r="F33" s="54"/>
      <c r="G33" s="54"/>
      <c r="H33" s="54"/>
      <c r="I33" s="54"/>
      <c r="J33" s="54"/>
      <c r="K33" s="54"/>
      <c r="S33" s="53"/>
      <c r="T33" s="53"/>
      <c r="U33" s="53"/>
      <c r="V33" s="53"/>
      <c r="W33" s="53"/>
      <c r="X33" s="53"/>
    </row>
    <row r="34" spans="2:24" s="10" customFormat="1">
      <c r="B34" s="9"/>
      <c r="C34" s="54"/>
      <c r="D34" s="54"/>
      <c r="K34" s="58"/>
      <c r="L34" s="59"/>
      <c r="M34" s="59"/>
      <c r="N34" s="59"/>
      <c r="O34" s="59"/>
      <c r="P34" s="59"/>
      <c r="S34" s="53"/>
      <c r="T34" s="53"/>
      <c r="U34" s="53"/>
      <c r="V34" s="53"/>
      <c r="W34" s="53"/>
      <c r="X34" s="53"/>
    </row>
    <row r="35" spans="2:24">
      <c r="D35" s="53"/>
      <c r="E35" s="53"/>
      <c r="K35" s="58"/>
      <c r="L35" s="59"/>
      <c r="M35" s="59"/>
      <c r="N35" s="59"/>
      <c r="O35" s="59"/>
      <c r="P35" s="59"/>
    </row>
    <row r="36" spans="2:24">
      <c r="K36" s="60"/>
      <c r="L36" s="59"/>
      <c r="M36" s="59"/>
      <c r="N36" s="59"/>
      <c r="O36" s="59"/>
      <c r="P36" s="59"/>
    </row>
    <row r="37" spans="2:24" ht="15" thickBot="1">
      <c r="K37" s="60"/>
    </row>
    <row r="38" spans="2:24" s="27" customFormat="1" ht="15.6">
      <c r="B38" s="120" t="s">
        <v>52</v>
      </c>
      <c r="C38" s="121"/>
      <c r="D38" s="121"/>
      <c r="E38" s="121"/>
      <c r="F38" s="121"/>
      <c r="G38" s="121"/>
      <c r="H38" s="121"/>
      <c r="I38" s="121"/>
      <c r="J38" s="121"/>
      <c r="K38" s="121"/>
      <c r="L38" s="122"/>
      <c r="M38" s="122"/>
      <c r="N38" s="122"/>
      <c r="O38" s="122"/>
      <c r="P38" s="122"/>
      <c r="Q38" s="122"/>
    </row>
    <row r="39" spans="2:24" s="27" customFormat="1" ht="5.25" customHeight="1" thickBot="1">
      <c r="B39" s="61"/>
      <c r="L39" s="62"/>
      <c r="M39" s="62"/>
      <c r="N39" s="62"/>
      <c r="O39" s="62"/>
      <c r="P39" s="62"/>
      <c r="Q39" s="62"/>
    </row>
    <row r="40" spans="2:24" ht="15" thickBot="1">
      <c r="B40" s="63" t="s">
        <v>0</v>
      </c>
      <c r="C40" s="153" t="s">
        <v>27</v>
      </c>
      <c r="D40" s="154"/>
      <c r="E40" s="158"/>
      <c r="F40" s="153" t="s">
        <v>28</v>
      </c>
      <c r="G40" s="154"/>
      <c r="H40" s="158"/>
      <c r="I40" s="63" t="s">
        <v>7</v>
      </c>
    </row>
    <row r="41" spans="2:24">
      <c r="B41" s="15" t="s">
        <v>41</v>
      </c>
      <c r="C41" s="64">
        <v>5</v>
      </c>
      <c r="D41" s="65"/>
      <c r="E41" s="65"/>
      <c r="F41" s="34">
        <v>10339.51</v>
      </c>
      <c r="G41" s="65"/>
      <c r="H41" s="65"/>
      <c r="I41" s="66">
        <f>SUM(F41:H41)</f>
        <v>10339.51</v>
      </c>
    </row>
    <row r="42" spans="2:24">
      <c r="B42" s="16" t="s">
        <v>42</v>
      </c>
      <c r="C42" s="67">
        <v>10</v>
      </c>
      <c r="D42" s="68"/>
      <c r="E42" s="68"/>
      <c r="F42" s="37">
        <v>101536.96000000002</v>
      </c>
      <c r="G42" s="68"/>
      <c r="H42" s="68"/>
      <c r="I42" s="40">
        <f t="shared" ref="I42:I48" si="15">SUM(F42:H42)</f>
        <v>101536.96000000002</v>
      </c>
    </row>
    <row r="43" spans="2:24">
      <c r="B43" s="16" t="s">
        <v>43</v>
      </c>
      <c r="C43" s="67">
        <v>20</v>
      </c>
      <c r="D43" s="68"/>
      <c r="E43" s="68"/>
      <c r="F43" s="37">
        <v>528566.26</v>
      </c>
      <c r="G43" s="68"/>
      <c r="H43" s="68"/>
      <c r="I43" s="40">
        <f t="shared" si="15"/>
        <v>528566.26</v>
      </c>
    </row>
    <row r="44" spans="2:24">
      <c r="B44" s="41" t="s">
        <v>44</v>
      </c>
      <c r="C44" s="67">
        <v>27</v>
      </c>
      <c r="D44" s="68"/>
      <c r="E44" s="68"/>
      <c r="F44" s="37">
        <v>3413700.2199999997</v>
      </c>
      <c r="G44" s="68"/>
      <c r="H44" s="68"/>
      <c r="I44" s="40">
        <f t="shared" si="15"/>
        <v>3413700.2199999997</v>
      </c>
    </row>
    <row r="45" spans="2:24">
      <c r="B45" s="41" t="s">
        <v>45</v>
      </c>
      <c r="C45" s="67">
        <v>1</v>
      </c>
      <c r="D45" s="68"/>
      <c r="E45" s="68"/>
      <c r="F45" s="37">
        <v>7135.5899999999992</v>
      </c>
      <c r="G45" s="68"/>
      <c r="H45" s="68"/>
      <c r="I45" s="40">
        <f t="shared" si="15"/>
        <v>7135.5899999999992</v>
      </c>
    </row>
    <row r="46" spans="2:24">
      <c r="B46" s="41" t="s">
        <v>58</v>
      </c>
      <c r="C46" s="67">
        <v>2</v>
      </c>
      <c r="D46" s="68"/>
      <c r="E46" s="68"/>
      <c r="F46" s="37">
        <v>64293.909999999996</v>
      </c>
      <c r="G46" s="68"/>
      <c r="H46" s="68"/>
      <c r="I46" s="40">
        <f t="shared" si="15"/>
        <v>64293.909999999996</v>
      </c>
    </row>
    <row r="47" spans="2:24">
      <c r="B47" s="41" t="s">
        <v>46</v>
      </c>
      <c r="C47" s="67">
        <v>11</v>
      </c>
      <c r="D47" s="68"/>
      <c r="E47" s="68"/>
      <c r="F47" s="37">
        <v>8020153.0300000003</v>
      </c>
      <c r="G47" s="68"/>
      <c r="H47" s="68"/>
      <c r="I47" s="40">
        <f t="shared" si="15"/>
        <v>8020153.0300000003</v>
      </c>
    </row>
    <row r="48" spans="2:24" ht="15" thickBot="1">
      <c r="B48" s="17" t="s">
        <v>47</v>
      </c>
      <c r="C48" s="69">
        <v>1</v>
      </c>
      <c r="D48" s="70"/>
      <c r="E48" s="70"/>
      <c r="F48" s="46">
        <v>3065979</v>
      </c>
      <c r="G48" s="70"/>
      <c r="H48" s="70"/>
      <c r="I48" s="71">
        <f t="shared" si="15"/>
        <v>3065979</v>
      </c>
    </row>
    <row r="49" spans="2:9" s="10" customFormat="1" ht="15" thickBot="1">
      <c r="B49" s="72" t="s">
        <v>7</v>
      </c>
      <c r="C49" s="73">
        <f>SUM(C41:C48)</f>
        <v>77</v>
      </c>
      <c r="D49" s="74"/>
      <c r="E49" s="74"/>
      <c r="F49" s="73">
        <f>SUM(F41:F48)</f>
        <v>15211704.48</v>
      </c>
      <c r="G49" s="74"/>
      <c r="H49" s="74"/>
      <c r="I49" s="75">
        <f t="shared" ref="I49" si="16">SUM(F49:H49)</f>
        <v>15211704.48</v>
      </c>
    </row>
  </sheetData>
  <sheetProtection algorithmName="SHA-512" hashValue="5CYNtgCMsLd7yMzN+BoOzxcN6F4s8huQY44zwre6KT+vd3xqGVS9nqtjPbt9CdWTeNJZ+ArbguJvA+QmOwuE5Q==" saltValue="6sLBICbLwhYUiPq6EI9iSA==" spinCount="100000" sheet="1" objects="1" scenarios="1"/>
  <mergeCells count="6">
    <mergeCell ref="L5:Q5"/>
    <mergeCell ref="C5:H5"/>
    <mergeCell ref="C40:E40"/>
    <mergeCell ref="F40:H40"/>
    <mergeCell ref="C20:H20"/>
    <mergeCell ref="L20:Q20"/>
  </mergeCells>
  <phoneticPr fontId="12" type="noConversion"/>
  <pageMargins left="0.70866141732283472" right="0.70866141732283472" top="0.39370078740157483" bottom="0.19685039370078741" header="0.31496062992125984" footer="0.31496062992125984"/>
  <pageSetup paperSize="9" scale="65" fitToWidth="0" orientation="landscape" r:id="rId1"/>
  <ignoredErrors>
    <ignoredError sqref="I10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2BB8BBDCBD5C49AC72A1453F243442" ma:contentTypeVersion="18" ma:contentTypeDescription="Crear nuevo documento." ma:contentTypeScope="" ma:versionID="058a2c1a485f2850092ae940d776cbcf">
  <xsd:schema xmlns:xsd="http://www.w3.org/2001/XMLSchema" xmlns:xs="http://www.w3.org/2001/XMLSchema" xmlns:p="http://schemas.microsoft.com/office/2006/metadata/properties" xmlns:ns2="57922a4b-592d-40d6-821d-abc46449e788" xmlns:ns3="c520a6e5-dbcf-4e7e-9850-c4fddf558dc2" targetNamespace="http://schemas.microsoft.com/office/2006/metadata/properties" ma:root="true" ma:fieldsID="312920a4e5dd6584c170f3724575a412" ns2:_="" ns3:_="">
    <xsd:import namespace="57922a4b-592d-40d6-821d-abc46449e788"/>
    <xsd:import namespace="c520a6e5-dbcf-4e7e-9850-c4fddf558d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922a4b-592d-40d6-821d-abc46449e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f530523-d536-4dfc-914a-2d174f647ca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20a6e5-dbcf-4e7e-9850-c4fddf558d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d85f79e-767e-425d-8ccb-e5f4c912df72}" ma:internalName="TaxCatchAll" ma:showField="CatchAllData" ma:web="c520a6e5-dbcf-4e7e-9850-c4fddf558d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922a4b-592d-40d6-821d-abc46449e788">
      <Terms xmlns="http://schemas.microsoft.com/office/infopath/2007/PartnerControls"/>
    </lcf76f155ced4ddcb4097134ff3c332f>
    <TaxCatchAll xmlns="c520a6e5-dbcf-4e7e-9850-c4fddf558dc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B67D99-09B0-4603-93C7-E88C1D6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922a4b-592d-40d6-821d-abc46449e788"/>
    <ds:schemaRef ds:uri="c520a6e5-dbcf-4e7e-9850-c4fddf558d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8596C7-7CD8-40E2-885B-4CBA18C8DFB9}">
  <ds:schemaRefs>
    <ds:schemaRef ds:uri="http://schemas.microsoft.com/office/2006/metadata/properties"/>
    <ds:schemaRef ds:uri="http://schemas.microsoft.com/office/infopath/2007/PartnerControls"/>
    <ds:schemaRef ds:uri="57922a4b-592d-40d6-821d-abc46449e788"/>
    <ds:schemaRef ds:uri="c520a6e5-dbcf-4e7e-9850-c4fddf558dc2"/>
  </ds:schemaRefs>
</ds:datastoreItem>
</file>

<file path=customXml/itemProps3.xml><?xml version="1.0" encoding="utf-8"?>
<ds:datastoreItem xmlns:ds="http://schemas.openxmlformats.org/officeDocument/2006/customXml" ds:itemID="{A9652519-5F9F-4A5E-B0F5-C0C8BFAD20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 OFERTA</vt:lpstr>
      <vt:lpstr>LOTE 1. Electricidad</vt:lpstr>
      <vt:lpstr>LOTE 2 Gas</vt:lpstr>
      <vt:lpstr>Datos CONSUMOS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A83052407</dc:creator>
  <cp:lastModifiedBy>Gomez Rodriguez, Pedro</cp:lastModifiedBy>
  <cp:lastPrinted>2020-01-27T10:21:54Z</cp:lastPrinted>
  <dcterms:created xsi:type="dcterms:W3CDTF">2019-03-08T12:53:42Z</dcterms:created>
  <dcterms:modified xsi:type="dcterms:W3CDTF">2026-04-27T08:39:15Z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0x010100C12BB8BBDCBD5C49AC72A1453F243442</vt:lpwstr>
  </property>
</Properties>
</file>